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bemarlecountyva-my.sharepoint.com/personal/epurdy_albemarle_org/Documents/Desktop/"/>
    </mc:Choice>
  </mc:AlternateContent>
  <xr:revisionPtr revIDLastSave="0" documentId="8_{1D21514D-8A90-4FFF-94AE-471E25198BFD}" xr6:coauthVersionLast="45" xr6:coauthVersionMax="45" xr10:uidLastSave="{00000000-0000-0000-0000-000000000000}"/>
  <bookViews>
    <workbookView xWindow="-28920" yWindow="-120" windowWidth="29040" windowHeight="15840" tabRatio="714" xr2:uid="{2D878C10-E392-47A6-A8A3-550F6914C60B}"/>
  </bookViews>
  <sheets>
    <sheet name="Summary" sheetId="9" r:id="rId1"/>
    <sheet name="Emission and Conversion Factors" sheetId="1" r:id="rId2"/>
    <sheet name="Transportation" sheetId="2" r:id="rId3"/>
    <sheet name="Stationary Energy" sheetId="3" r:id="rId4"/>
    <sheet name="Waste" sheetId="15" r:id="rId5"/>
    <sheet name="AFOLU" sheetId="13" r:id="rId6"/>
    <sheet name="Local Government" sheetId="6" r:id="rId7"/>
    <sheet name="Forestry" sheetId="14" r:id="rId8"/>
    <sheet name="Gov Building Detail" sheetId="7" r:id="rId9"/>
    <sheet name="Cville Gas Detail" sheetId="8" r:id="rId10"/>
    <sheet name="Home Heating Fuel" sheetId="10" r:id="rId11"/>
    <sheet name="eGRID History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9" l="1"/>
  <c r="C13" i="9"/>
  <c r="C6" i="12"/>
  <c r="C7" i="12"/>
  <c r="C8" i="12"/>
  <c r="C9" i="12"/>
  <c r="C10" i="12"/>
  <c r="C11" i="12"/>
  <c r="D15" i="3" l="1"/>
  <c r="G10" i="1"/>
  <c r="O5" i="13"/>
  <c r="H5" i="13"/>
  <c r="B33" i="15" l="1"/>
  <c r="B34" i="15"/>
  <c r="B35" i="15"/>
  <c r="B36" i="15"/>
  <c r="B4" i="15"/>
  <c r="B6" i="15" s="1"/>
  <c r="B12" i="15" s="1"/>
  <c r="B39" i="15" l="1"/>
  <c r="B24" i="15" s="1"/>
  <c r="B27" i="15" s="1"/>
  <c r="B13" i="15" s="1"/>
  <c r="B16" i="15" s="1"/>
  <c r="B18" i="15" s="1"/>
  <c r="F15" i="9" s="1"/>
  <c r="P10" i="13"/>
  <c r="R10" i="13" s="1"/>
  <c r="P9" i="13"/>
  <c r="R9" i="13" s="1"/>
  <c r="P8" i="13"/>
  <c r="R8" i="13" s="1"/>
  <c r="P7" i="13"/>
  <c r="R7" i="13" s="1"/>
  <c r="P5" i="13"/>
  <c r="R5" i="13" s="1"/>
  <c r="J10" i="13"/>
  <c r="J9" i="13"/>
  <c r="J8" i="13"/>
  <c r="J7" i="13"/>
  <c r="V9" i="13" l="1"/>
  <c r="V11" i="13" s="1"/>
  <c r="M10" i="13"/>
  <c r="M9" i="13"/>
  <c r="M8" i="13"/>
  <c r="M7" i="13"/>
  <c r="J5" i="13" l="1"/>
  <c r="M5" i="13" s="1"/>
  <c r="D10" i="13"/>
  <c r="E10" i="13" s="1"/>
  <c r="D9" i="13"/>
  <c r="E9" i="13" s="1"/>
  <c r="D8" i="13"/>
  <c r="E8" i="13" s="1"/>
  <c r="D7" i="13"/>
  <c r="E7" i="13" s="1"/>
  <c r="D5" i="13"/>
  <c r="E5" i="13" s="1"/>
  <c r="B6" i="13"/>
  <c r="P6" i="13" s="1"/>
  <c r="R6" i="13" s="1"/>
  <c r="J6" i="13" l="1"/>
  <c r="M6" i="13" s="1"/>
  <c r="D6" i="13"/>
  <c r="E6" i="13" s="1"/>
  <c r="C26" i="14"/>
  <c r="D26" i="14"/>
  <c r="C27" i="14"/>
  <c r="D27" i="14"/>
  <c r="C28" i="14"/>
  <c r="D28" i="14"/>
  <c r="C29" i="14"/>
  <c r="D29" i="14"/>
  <c r="C30" i="14"/>
  <c r="D30" i="14"/>
  <c r="C31" i="14"/>
  <c r="D31" i="14"/>
  <c r="C32" i="14"/>
  <c r="D32" i="14"/>
  <c r="C33" i="14"/>
  <c r="D33" i="14"/>
  <c r="E13" i="9"/>
  <c r="C35" i="14" l="1"/>
  <c r="F44" i="9" s="1"/>
  <c r="D35" i="14"/>
  <c r="C17" i="6"/>
  <c r="C37" i="14" l="1"/>
  <c r="F45" i="9"/>
  <c r="F46" i="9"/>
  <c r="R11" i="13"/>
  <c r="M11" i="13"/>
  <c r="E11" i="13"/>
  <c r="D6" i="12"/>
  <c r="D11" i="12"/>
  <c r="D10" i="12"/>
  <c r="D9" i="12"/>
  <c r="D8" i="12"/>
  <c r="D7" i="12"/>
  <c r="B13" i="13" l="1"/>
  <c r="F17" i="9" s="1"/>
  <c r="E38" i="9"/>
  <c r="D38" i="9"/>
  <c r="C38" i="9"/>
  <c r="B23" i="8" l="1"/>
  <c r="B22" i="8"/>
  <c r="H27" i="2" l="1"/>
  <c r="F27" i="2"/>
  <c r="C22" i="2"/>
  <c r="C21" i="2"/>
  <c r="C20" i="2"/>
  <c r="C19" i="2"/>
  <c r="C18" i="2"/>
  <c r="D12" i="2"/>
  <c r="B32" i="8" l="1"/>
  <c r="F23" i="3" s="1"/>
  <c r="B31" i="8"/>
  <c r="B30" i="8"/>
  <c r="B29" i="8"/>
  <c r="G13" i="1"/>
  <c r="F13" i="1"/>
  <c r="E13" i="1"/>
  <c r="E27" i="3"/>
  <c r="E26" i="3"/>
  <c r="E25" i="3"/>
  <c r="C16" i="10"/>
  <c r="C15" i="10"/>
  <c r="C14" i="10"/>
  <c r="C13" i="10"/>
  <c r="C12" i="10"/>
  <c r="C11" i="10"/>
  <c r="C10" i="10"/>
  <c r="C9" i="10"/>
  <c r="C8" i="10"/>
  <c r="C18" i="3"/>
  <c r="C17" i="3"/>
  <c r="C16" i="3"/>
  <c r="C15" i="3"/>
  <c r="G9" i="3"/>
  <c r="H9" i="3" s="1"/>
  <c r="C35" i="3" s="1"/>
  <c r="G8" i="3"/>
  <c r="H8" i="3" s="1"/>
  <c r="C34" i="3" s="1"/>
  <c r="G7" i="3"/>
  <c r="H7" i="3" s="1"/>
  <c r="C33" i="3" s="1"/>
  <c r="G6" i="3"/>
  <c r="H6" i="3" s="1"/>
  <c r="C32" i="3" s="1"/>
  <c r="E5" i="9"/>
  <c r="E21" i="9" s="1"/>
  <c r="D5" i="9"/>
  <c r="D21" i="9" s="1"/>
  <c r="C5" i="9"/>
  <c r="C21" i="9" s="1"/>
  <c r="E5" i="2"/>
  <c r="D27" i="3" l="1"/>
  <c r="D26" i="3"/>
  <c r="D25" i="3"/>
  <c r="F25" i="3" s="1"/>
  <c r="F26" i="3"/>
  <c r="F27" i="3"/>
  <c r="G27" i="3" s="1"/>
  <c r="C19" i="3"/>
  <c r="H10" i="3"/>
  <c r="B26" i="8" l="1"/>
  <c r="B24" i="8"/>
  <c r="B25" i="8"/>
  <c r="G18" i="8"/>
  <c r="F18" i="8"/>
  <c r="E18" i="8"/>
  <c r="G16" i="8"/>
  <c r="F16" i="8"/>
  <c r="E16" i="8"/>
  <c r="G14" i="8"/>
  <c r="F14" i="8"/>
  <c r="E14" i="8"/>
  <c r="G10" i="8"/>
  <c r="F10" i="8"/>
  <c r="E10" i="8"/>
  <c r="G7" i="8"/>
  <c r="F7" i="8"/>
  <c r="E7" i="8"/>
  <c r="D73" i="7"/>
  <c r="D72" i="7"/>
  <c r="D71" i="7"/>
  <c r="D70" i="7"/>
  <c r="M31" i="7"/>
  <c r="L31" i="7"/>
  <c r="M43" i="7"/>
  <c r="M36" i="7"/>
  <c r="K49" i="7"/>
  <c r="K47" i="7"/>
  <c r="K46" i="7"/>
  <c r="K27" i="7"/>
  <c r="K20" i="7"/>
  <c r="K17" i="7"/>
  <c r="K16" i="7"/>
  <c r="K15" i="7"/>
  <c r="K14" i="7"/>
  <c r="K13" i="7"/>
  <c r="K11" i="7"/>
  <c r="K8" i="7"/>
  <c r="K7" i="7"/>
  <c r="K6" i="7"/>
  <c r="I58" i="7"/>
  <c r="I42" i="7"/>
  <c r="I41" i="7"/>
  <c r="I40" i="7"/>
  <c r="I39" i="7"/>
  <c r="I38" i="7"/>
  <c r="I37" i="7"/>
  <c r="I35" i="7"/>
  <c r="I34" i="7"/>
  <c r="I33" i="7"/>
  <c r="I30" i="7"/>
  <c r="I29" i="7"/>
  <c r="I28" i="7"/>
  <c r="I26" i="7"/>
  <c r="I25" i="7"/>
  <c r="I24" i="7"/>
  <c r="I22" i="7"/>
  <c r="I21" i="7"/>
  <c r="I19" i="7"/>
  <c r="I18" i="7"/>
  <c r="I12" i="7"/>
  <c r="I10" i="7"/>
  <c r="I9" i="7"/>
  <c r="I5" i="7"/>
  <c r="I4" i="7"/>
  <c r="O63" i="7"/>
  <c r="G62" i="7"/>
  <c r="N62" i="7" s="1"/>
  <c r="G61" i="7"/>
  <c r="N61" i="7" s="1"/>
  <c r="G60" i="7"/>
  <c r="N60" i="7" s="1"/>
  <c r="G59" i="7"/>
  <c r="G58" i="7"/>
  <c r="G57" i="7"/>
  <c r="N57" i="7" s="1"/>
  <c r="G56" i="7"/>
  <c r="N56" i="7" s="1"/>
  <c r="G55" i="7"/>
  <c r="N55" i="7" s="1"/>
  <c r="G54" i="7"/>
  <c r="N54" i="7" s="1"/>
  <c r="O54" i="7" s="1"/>
  <c r="G53" i="7"/>
  <c r="N53" i="7" s="1"/>
  <c r="G52" i="7"/>
  <c r="N52" i="7" s="1"/>
  <c r="G51" i="7"/>
  <c r="N51" i="7" s="1"/>
  <c r="G50" i="7"/>
  <c r="N50" i="7" s="1"/>
  <c r="G49" i="7"/>
  <c r="G48" i="7"/>
  <c r="N48" i="7" s="1"/>
  <c r="O48" i="7" s="1"/>
  <c r="G46" i="7"/>
  <c r="N46" i="7" s="1"/>
  <c r="O46" i="7" s="1"/>
  <c r="G45" i="7"/>
  <c r="N45" i="7" s="1"/>
  <c r="O45" i="7" s="1"/>
  <c r="G44" i="7"/>
  <c r="N44" i="7" s="1"/>
  <c r="O44" i="7" s="1"/>
  <c r="G43" i="7"/>
  <c r="G42" i="7"/>
  <c r="G41" i="7"/>
  <c r="G40" i="7"/>
  <c r="G39" i="7"/>
  <c r="N39" i="7" s="1"/>
  <c r="O39" i="7" s="1"/>
  <c r="G38" i="7"/>
  <c r="G37" i="7"/>
  <c r="G36" i="7"/>
  <c r="G35" i="7"/>
  <c r="G34" i="7"/>
  <c r="G33" i="7"/>
  <c r="G30" i="7"/>
  <c r="G29" i="7"/>
  <c r="G28" i="7"/>
  <c r="N28" i="7" s="1"/>
  <c r="O28" i="7" s="1"/>
  <c r="G27" i="7"/>
  <c r="G26" i="7"/>
  <c r="G25" i="7"/>
  <c r="G24" i="7"/>
  <c r="G23" i="7"/>
  <c r="N23" i="7" s="1"/>
  <c r="O23" i="7" s="1"/>
  <c r="G22" i="7"/>
  <c r="G21" i="7"/>
  <c r="G20" i="7"/>
  <c r="G19" i="7"/>
  <c r="G18" i="7"/>
  <c r="N18" i="7" s="1"/>
  <c r="O18" i="7" s="1"/>
  <c r="G17" i="7"/>
  <c r="G16" i="7"/>
  <c r="N16" i="7" s="1"/>
  <c r="O16" i="7" s="1"/>
  <c r="G15" i="7"/>
  <c r="G14" i="7"/>
  <c r="G13" i="7"/>
  <c r="G12" i="7"/>
  <c r="N12" i="7" s="1"/>
  <c r="O12" i="7" s="1"/>
  <c r="G11" i="7"/>
  <c r="G10" i="7"/>
  <c r="G9" i="7"/>
  <c r="G8" i="7"/>
  <c r="N8" i="7" s="1"/>
  <c r="O8" i="7" s="1"/>
  <c r="G7" i="7"/>
  <c r="G6" i="7"/>
  <c r="G5" i="7"/>
  <c r="G4" i="7"/>
  <c r="L65" i="7"/>
  <c r="L67" i="7" s="1"/>
  <c r="C10" i="6" s="1"/>
  <c r="J65" i="7"/>
  <c r="H65" i="7"/>
  <c r="D65" i="7"/>
  <c r="F47" i="7"/>
  <c r="F65" i="7" s="1"/>
  <c r="J31" i="7"/>
  <c r="H31" i="7"/>
  <c r="F31" i="7"/>
  <c r="D31" i="7"/>
  <c r="D17" i="6"/>
  <c r="D16" i="6"/>
  <c r="D30" i="6"/>
  <c r="F36" i="9" s="1"/>
  <c r="G8" i="1"/>
  <c r="L17" i="2"/>
  <c r="L18" i="2"/>
  <c r="L19" i="2"/>
  <c r="L20" i="2"/>
  <c r="L21" i="2"/>
  <c r="L22" i="2"/>
  <c r="L16" i="2"/>
  <c r="J17" i="2"/>
  <c r="J18" i="2"/>
  <c r="J19" i="2"/>
  <c r="J20" i="2"/>
  <c r="J21" i="2"/>
  <c r="J22" i="2"/>
  <c r="J16" i="2"/>
  <c r="H21" i="2"/>
  <c r="H19" i="2"/>
  <c r="H22" i="2"/>
  <c r="H20" i="2"/>
  <c r="H18" i="2"/>
  <c r="H17" i="2"/>
  <c r="H16" i="2"/>
  <c r="F17" i="2"/>
  <c r="F18" i="2"/>
  <c r="F19" i="2"/>
  <c r="F20" i="2"/>
  <c r="F21" i="2"/>
  <c r="F22" i="2"/>
  <c r="F16" i="2"/>
  <c r="F20" i="1"/>
  <c r="E20" i="1"/>
  <c r="N24" i="7" l="1"/>
  <c r="O24" i="7" s="1"/>
  <c r="N5" i="7"/>
  <c r="O5" i="7" s="1"/>
  <c r="N29" i="7"/>
  <c r="O29" i="7" s="1"/>
  <c r="G31" i="7"/>
  <c r="N20" i="7"/>
  <c r="O20" i="7" s="1"/>
  <c r="N21" i="7"/>
  <c r="O21" i="7" s="1"/>
  <c r="N22" i="7"/>
  <c r="O22" i="7" s="1"/>
  <c r="N30" i="7"/>
  <c r="N10" i="7"/>
  <c r="O10" i="7" s="1"/>
  <c r="N14" i="7"/>
  <c r="O14" i="7" s="1"/>
  <c r="N26" i="7"/>
  <c r="O26" i="7" s="1"/>
  <c r="N49" i="7"/>
  <c r="O49" i="7" s="1"/>
  <c r="I31" i="7"/>
  <c r="N9" i="7"/>
  <c r="O9" i="7" s="1"/>
  <c r="N25" i="7"/>
  <c r="O25" i="7" s="1"/>
  <c r="N7" i="7"/>
  <c r="O7" i="7" s="1"/>
  <c r="N15" i="7"/>
  <c r="O15" i="7" s="1"/>
  <c r="N27" i="7"/>
  <c r="O27" i="7" s="1"/>
  <c r="F11" i="8"/>
  <c r="E11" i="8"/>
  <c r="G11" i="8"/>
  <c r="N43" i="7"/>
  <c r="O43" i="7" s="1"/>
  <c r="J67" i="7"/>
  <c r="C9" i="6" s="1"/>
  <c r="N40" i="7"/>
  <c r="O40" i="7" s="1"/>
  <c r="N35" i="7"/>
  <c r="O35" i="7" s="1"/>
  <c r="N11" i="7"/>
  <c r="O11" i="7" s="1"/>
  <c r="N19" i="7"/>
  <c r="O19" i="7" s="1"/>
  <c r="N33" i="7"/>
  <c r="O33" i="7" s="1"/>
  <c r="N37" i="7"/>
  <c r="O37" i="7" s="1"/>
  <c r="N41" i="7"/>
  <c r="O41" i="7" s="1"/>
  <c r="I65" i="7"/>
  <c r="N36" i="7"/>
  <c r="O36" i="7" s="1"/>
  <c r="N34" i="7"/>
  <c r="O34" i="7" s="1"/>
  <c r="N38" i="7"/>
  <c r="O38" i="7" s="1"/>
  <c r="N42" i="7"/>
  <c r="O42" i="7" s="1"/>
  <c r="N58" i="7"/>
  <c r="O58" i="7" s="1"/>
  <c r="N6" i="7"/>
  <c r="O6" i="7" s="1"/>
  <c r="N13" i="7"/>
  <c r="O13" i="7" s="1"/>
  <c r="N17" i="7"/>
  <c r="O17" i="7" s="1"/>
  <c r="N4" i="7"/>
  <c r="O4" i="7" s="1"/>
  <c r="G47" i="7"/>
  <c r="N47" i="7" s="1"/>
  <c r="O47" i="7" s="1"/>
  <c r="K65" i="7"/>
  <c r="K31" i="7"/>
  <c r="M65" i="7"/>
  <c r="M67" i="7" s="1"/>
  <c r="F67" i="7"/>
  <c r="C7" i="6" s="1"/>
  <c r="D7" i="6" s="1"/>
  <c r="D67" i="7"/>
  <c r="H67" i="7"/>
  <c r="C8" i="6" s="1"/>
  <c r="D18" i="6"/>
  <c r="F31" i="9" s="1"/>
  <c r="B23" i="2"/>
  <c r="C27" i="2" l="1"/>
  <c r="C16" i="2"/>
  <c r="D16" i="2" s="1"/>
  <c r="C17" i="2"/>
  <c r="D17" i="2" s="1"/>
  <c r="E17" i="2" s="1"/>
  <c r="D18" i="2"/>
  <c r="D19" i="2"/>
  <c r="E19" i="2" s="1"/>
  <c r="D20" i="2"/>
  <c r="D21" i="2"/>
  <c r="D22" i="2"/>
  <c r="E22" i="2" s="1"/>
  <c r="D27" i="2"/>
  <c r="E27" i="2" s="1"/>
  <c r="G27" i="2" s="1"/>
  <c r="I27" i="2" s="1"/>
  <c r="I67" i="7"/>
  <c r="K67" i="7"/>
  <c r="G65" i="7"/>
  <c r="G67" i="7" s="1"/>
  <c r="N31" i="7"/>
  <c r="E18" i="2"/>
  <c r="G18" i="2" s="1"/>
  <c r="I18" i="2" s="1"/>
  <c r="E21" i="2"/>
  <c r="G21" i="2" s="1"/>
  <c r="I21" i="2" s="1"/>
  <c r="E20" i="2"/>
  <c r="K20" i="2" s="1"/>
  <c r="G22" i="2"/>
  <c r="I22" i="2" s="1"/>
  <c r="K22" i="2"/>
  <c r="M22" i="2"/>
  <c r="C36" i="3" l="1"/>
  <c r="C23" i="2"/>
  <c r="F36" i="3"/>
  <c r="F12" i="9" s="1"/>
  <c r="E16" i="2"/>
  <c r="E23" i="2" s="1"/>
  <c r="D23" i="2"/>
  <c r="K16" i="2"/>
  <c r="N65" i="7"/>
  <c r="N67" i="7" s="1"/>
  <c r="K18" i="2"/>
  <c r="M18" i="2"/>
  <c r="M21" i="2"/>
  <c r="K21" i="2"/>
  <c r="G20" i="2"/>
  <c r="I20" i="2" s="1"/>
  <c r="O22" i="2"/>
  <c r="M20" i="2"/>
  <c r="G17" i="2"/>
  <c r="I17" i="2" s="1"/>
  <c r="M17" i="2"/>
  <c r="K17" i="2"/>
  <c r="G16" i="2"/>
  <c r="I16" i="2" s="1"/>
  <c r="G19" i="2"/>
  <c r="I19" i="2" s="1"/>
  <c r="M19" i="2"/>
  <c r="K19" i="2"/>
  <c r="M16" i="2" l="1"/>
  <c r="M23" i="2" s="1"/>
  <c r="O18" i="2"/>
  <c r="O21" i="2"/>
  <c r="O20" i="2"/>
  <c r="G23" i="2"/>
  <c r="O19" i="2"/>
  <c r="K23" i="2"/>
  <c r="I23" i="2"/>
  <c r="O16" i="2"/>
  <c r="Q16" i="2" s="1"/>
  <c r="O17" i="2"/>
  <c r="Q17" i="2" s="1"/>
  <c r="Q27" i="2" l="1"/>
  <c r="O23" i="2"/>
  <c r="E6" i="2" s="1"/>
  <c r="F5" i="9" s="1"/>
  <c r="F12" i="1"/>
  <c r="E12" i="1"/>
  <c r="F10" i="1"/>
  <c r="E10" i="1"/>
  <c r="F11" i="1"/>
  <c r="E11" i="1"/>
  <c r="G11" i="1" l="1"/>
  <c r="G20" i="1"/>
  <c r="G12" i="1"/>
  <c r="D23" i="6" l="1"/>
  <c r="F32" i="9" s="1"/>
  <c r="D24" i="6"/>
  <c r="D16" i="3"/>
  <c r="D33" i="3" s="1"/>
  <c r="F33" i="3" s="1"/>
  <c r="F9" i="9" s="1"/>
  <c r="D18" i="3"/>
  <c r="D35" i="3" s="1"/>
  <c r="F35" i="3" s="1"/>
  <c r="F11" i="9" s="1"/>
  <c r="D17" i="3"/>
  <c r="D34" i="3" s="1"/>
  <c r="F34" i="3" s="1"/>
  <c r="F10" i="9" s="1"/>
  <c r="D8" i="6"/>
  <c r="G25" i="3"/>
  <c r="D9" i="6"/>
  <c r="G26" i="3"/>
  <c r="D10" i="6"/>
  <c r="G28" i="3" l="1"/>
  <c r="E32" i="3" s="1"/>
  <c r="D11" i="6"/>
  <c r="F35" i="9" s="1"/>
  <c r="D32" i="3"/>
  <c r="D19" i="3"/>
  <c r="F38" i="9" l="1"/>
  <c r="F32" i="3"/>
  <c r="F8" i="9" s="1"/>
  <c r="F13" i="9" s="1"/>
  <c r="F21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tc={EDEFBA2D-A92A-4DF7-A821-3F585A0DDC35}</author>
  </authors>
  <commentList>
    <comment ref="C23" authorId="0" shapeId="0" xr:uid="{EDEFBA2D-A92A-4DF7-A821-3F585A0DDC3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Updated the mileage total. Uploaded and linked to the source doc
Reply:
    @Eric Purdy, is the update based on a reinterpretation of the cutoff distance?
Reply:
    update was based on me being an idiot and only calculating one way instead of round trip
Reply:
    That said... the cutoff distance is arbitrary and is definitely the weak point of this analysis. </t>
      </text>
    </comment>
  </commentList>
</comments>
</file>

<file path=xl/sharedStrings.xml><?xml version="1.0" encoding="utf-8"?>
<sst xmlns="http://schemas.openxmlformats.org/spreadsheetml/2006/main" count="744" uniqueCount="488">
  <si>
    <t>Annual GHG Emission Inventory Summary</t>
  </si>
  <si>
    <r>
      <t>Annual GHG Emissions (Mg of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e)</t>
    </r>
  </si>
  <si>
    <t>community-wide inventory</t>
  </si>
  <si>
    <t>transportation</t>
  </si>
  <si>
    <t>stationary energy (buildings)</t>
  </si>
  <si>
    <t>residential</t>
  </si>
  <si>
    <t>commercial</t>
  </si>
  <si>
    <t>industrial</t>
  </si>
  <si>
    <t>gov/other*</t>
  </si>
  <si>
    <t>EV subtraction**</t>
  </si>
  <si>
    <t>N/A</t>
  </si>
  <si>
    <t>subtotal</t>
  </si>
  <si>
    <t>waste</t>
  </si>
  <si>
    <t>agriculture and landscape</t>
  </si>
  <si>
    <t>local government ("municipal")***</t>
  </si>
  <si>
    <t>community-wide totals</t>
  </si>
  <si>
    <t xml:space="preserve">Source for 2000, 2006, 2008 data: </t>
  </si>
  <si>
    <t>https://www.albemarle.org/home/showdocument?id=3178</t>
  </si>
  <si>
    <t>*Cell E11 sourced from utilities, but not found or counted in 2009 report totals; reported here for transparency, but omitted from total</t>
  </si>
  <si>
    <t>**Electric Vehicle (EV) emissions from charging subtracted from Stationary and calculated within Transportation to reflect source of induced emissions</t>
  </si>
  <si>
    <t xml:space="preserve"> </t>
  </si>
  <si>
    <t>***To avoid double-counting of local government emissions, we omit "municipal" from the community-wide totals. See p. 16 of 2018 GHG Emission Inventory Report.</t>
  </si>
  <si>
    <t>local government (subset)</t>
  </si>
  <si>
    <t>vehicle fleet</t>
  </si>
  <si>
    <t>employee commute</t>
  </si>
  <si>
    <t>stationary energy</t>
  </si>
  <si>
    <t>buildings</t>
  </si>
  <si>
    <t>streetlights</t>
  </si>
  <si>
    <t>local government totals</t>
  </si>
  <si>
    <t>***E38 reflects the sum of calculations produced in 2008; the number in E19 was reported in the County's 2009 written report.</t>
  </si>
  <si>
    <t>County-wide forests</t>
  </si>
  <si>
    <t>total sequestration/removal</t>
  </si>
  <si>
    <t>total emissions</t>
  </si>
  <si>
    <t>net removal</t>
  </si>
  <si>
    <t>Emission Factors and Conversions</t>
  </si>
  <si>
    <t>sourced values</t>
  </si>
  <si>
    <t>GHG Emission Factors</t>
  </si>
  <si>
    <t>emission rate (kg/unit)</t>
  </si>
  <si>
    <t>item</t>
  </si>
  <si>
    <t>unit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</si>
  <si>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</si>
  <si>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CH</t>
    </r>
    <r>
      <rPr>
        <b/>
        <vertAlign val="subscript"/>
        <sz val="11"/>
        <color theme="1"/>
        <rFont val="Calibri"/>
        <family val="2"/>
        <scheme val="minor"/>
      </rPr>
      <t>4</t>
    </r>
  </si>
  <si>
    <r>
      <t>N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</si>
  <si>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</si>
  <si>
    <t>Source</t>
  </si>
  <si>
    <t>Link</t>
  </si>
  <si>
    <t>Stationary Sources</t>
  </si>
  <si>
    <t>electric grid (Virginia)</t>
  </si>
  <si>
    <t>mega-watt-hour (MWh)</t>
  </si>
  <si>
    <t>EPA eGRID Data Explorer</t>
  </si>
  <si>
    <t>https://www.epa.gov/egrid/data-explorer</t>
  </si>
  <si>
    <t>natural gas</t>
  </si>
  <si>
    <t>cubic foot (cf)</t>
  </si>
  <si>
    <t>EPA 2018 Emission Factors for GHG Inventories, Table 1</t>
  </si>
  <si>
    <t>https://www.epa.gov/sites/production/files/2018-03/documents/emission-factors_mar_2018_0.pdf</t>
  </si>
  <si>
    <t>fuel oil</t>
  </si>
  <si>
    <t>gallon (gal)</t>
  </si>
  <si>
    <t>liquid propane</t>
  </si>
  <si>
    <t>firewood</t>
  </si>
  <si>
    <t>short ton</t>
  </si>
  <si>
    <t>Transportation</t>
  </si>
  <si>
    <t>motor gasoline</t>
  </si>
  <si>
    <t>EPA 2020 Emission Factors for GHG Inventories, Table 2</t>
  </si>
  <si>
    <t>https://www.epa.gov/sites/production/files/2020-04/documents/ghg-emission-factors-hub.pdf</t>
  </si>
  <si>
    <t>diesel fuel</t>
  </si>
  <si>
    <t>employee commuting</t>
  </si>
  <si>
    <t>vehicle-mile</t>
  </si>
  <si>
    <t>EPA 2020 Emission Factors for GHG Inventories, Table 10</t>
  </si>
  <si>
    <t>light duty passenger vehicle (gas)</t>
  </si>
  <si>
    <t>EPA 2020 Emission Factors for GHG Inventories, Table 3</t>
  </si>
  <si>
    <t>light duty passenger vehicle (diesel)</t>
  </si>
  <si>
    <t>EPA 2020 Emission Factors for GHG Inventories, Table 4</t>
  </si>
  <si>
    <t>light duty truck (gas)</t>
  </si>
  <si>
    <t>light duty truck (diesel)</t>
  </si>
  <si>
    <t>heavy duty truck (gas)</t>
  </si>
  <si>
    <t>heavy duty truck (diesel)</t>
  </si>
  <si>
    <t>motorcyles</t>
  </si>
  <si>
    <t>Other</t>
  </si>
  <si>
    <t>100-year global warming potential (GWP)</t>
  </si>
  <si>
    <t>Global Protocol for Community-Scale Greenhouse Gas Emission Inventories</t>
  </si>
  <si>
    <t>https://ghgprotocol.org/sites/default/files/standards/GHGP_GPC_0.pdf</t>
  </si>
  <si>
    <t>2018 daily vehicle miles traveled (DVMT) - Albemarle County</t>
  </si>
  <si>
    <t>Virginia Department of Transportation (VDOT) report</t>
  </si>
  <si>
    <t>2018 vehicle fuel economy</t>
  </si>
  <si>
    <t>vehicle type</t>
  </si>
  <si>
    <t>miles per gallon (mpg)</t>
  </si>
  <si>
    <t>EPA Energy Information Administration</t>
  </si>
  <si>
    <t>https://www.eia.gov/opendata/qb.php?category=711246&amp;sdid=TOTAL.PCFRRUS.A</t>
  </si>
  <si>
    <t>https://www.eia.gov/opendata/qb.php?category=711246&amp;sdid=TOTAL.LTFRRUS.A</t>
  </si>
  <si>
    <t>https://www.eia.gov/opendata/qb.php?category=1373322&amp;sdid=AEO.2015.REF2015.EFI_NA_FGHT_RADS_MGS_NA_NA_MPG.A</t>
  </si>
  <si>
    <t>https://www.eia.gov/opendata/qb.php?category=1373322&amp;sdid=AEO.2015.REF2015.EFI_NA_FGHT_RADS_DSL_NA_NA_MPG.A</t>
  </si>
  <si>
    <t>https://www.bts.gov/content/light-duty-vehicle-short-wheel-base-and-motorcycle-fuel-consumption-and-travel</t>
  </si>
  <si>
    <t>Standard Unit Conversions</t>
  </si>
  <si>
    <t>BTUs/kWh of electricity</t>
  </si>
  <si>
    <t>US Energy Information Administration</t>
  </si>
  <si>
    <t>https://www.eia.gov/energyexplained/units-and-calculators/energy-conversion-calculators.php</t>
  </si>
  <si>
    <t>BTUs/cubic foot of natural gas</t>
  </si>
  <si>
    <t>https://www.eia.gov/dnav/ng/ng_cons_heat_a_EPG0_VGTH_btucf_a.htm</t>
  </si>
  <si>
    <t>BTUs/gallon of fuel oil</t>
  </si>
  <si>
    <t>BTUs/liquid gallon of propane</t>
  </si>
  <si>
    <t>EPA</t>
  </si>
  <si>
    <t>BTUs per short ton of firewood</t>
  </si>
  <si>
    <t>pounds per kilogram</t>
  </si>
  <si>
    <t>short tons per metric ton</t>
  </si>
  <si>
    <t>Community Transportation</t>
  </si>
  <si>
    <t>emissions</t>
  </si>
  <si>
    <t>Summary</t>
  </si>
  <si>
    <t>Daily VMT in county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</si>
  <si>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 emissions (Mg)</t>
    </r>
  </si>
  <si>
    <t>2018 Data</t>
  </si>
  <si>
    <t>daily vehicle miles traveled (DVMT) - Albemarle County</t>
  </si>
  <si>
    <t>Source:</t>
  </si>
  <si>
    <t>http://www.virginiadot.org/info/2018_traffic_data_daily_vehicle_miles_traveled.asp</t>
  </si>
  <si>
    <t>VA total motor vehicle registrations</t>
  </si>
  <si>
    <t>US Dept. of Transportation, Federal Highway Administration</t>
  </si>
  <si>
    <t>https://www.fhwa.dot.gov/policyinformation/statistics/2018/mv1.cfm</t>
  </si>
  <si>
    <t>VA electric vehicle registrations</t>
  </si>
  <si>
    <t>US Dept. of Energy, Alternative Fuels Data Center</t>
  </si>
  <si>
    <t>https://afdc.energy.gov/data/search?q=electric+vehicle+registrations+by+state</t>
  </si>
  <si>
    <t>percent of VA motor vehicles that are electric</t>
  </si>
  <si>
    <t>average fuel economy of electric vehicle (kWh/mile)</t>
  </si>
  <si>
    <t>https://afdc.energy.gov/vehicles/electric_emissions_sources.html</t>
  </si>
  <si>
    <t>CO2e</t>
  </si>
  <si>
    <t>VA VMT*</t>
  </si>
  <si>
    <t>VA VMT 
(adjusted for EV estimate)</t>
  </si>
  <si>
    <t>VMT %</t>
  </si>
  <si>
    <t>Albemarle 2018 VMT</t>
  </si>
  <si>
    <t>fuel economy (MPG)**</t>
  </si>
  <si>
    <t>2018 fuel consumption (gallons)</t>
  </si>
  <si>
    <t>emission factor (kg/gal)</t>
  </si>
  <si>
    <t>emissions (t=Mg)</t>
  </si>
  <si>
    <t>emission factor (kg/mile)</t>
  </si>
  <si>
    <t>direct emission reductions due to EVs (t=Mg)</t>
  </si>
  <si>
    <t>Total</t>
  </si>
  <si>
    <t>VA VMT 
(EV estimate)</t>
  </si>
  <si>
    <t>fuel economy (kWh/mile)</t>
  </si>
  <si>
    <t>2018 energy consumption (kWh)</t>
  </si>
  <si>
    <t>emission factor (kg/MWh)</t>
  </si>
  <si>
    <t>net reduced emissions due to EVs (t=Mg)</t>
  </si>
  <si>
    <t>electric vehicles</t>
  </si>
  <si>
    <t>*Source:</t>
  </si>
  <si>
    <t>EPA Energy Resources for State and Local Governments</t>
  </si>
  <si>
    <t>https://www.epa.gov/statelocalenergy/download-state-inventory-and-projection-tool</t>
  </si>
  <si>
    <t>**Source:</t>
  </si>
  <si>
    <t>US Energy Information Administration (all light and heavy)</t>
  </si>
  <si>
    <t>https://www.eia.gov/opendata/qb.php?category=711246</t>
  </si>
  <si>
    <t>Motorcycles</t>
  </si>
  <si>
    <t>2008 Data, etc</t>
  </si>
  <si>
    <t xml:space="preserve">Stationary Usage (Buildings) 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</si>
  <si>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 emissions due to use of electrical grid (Mg)</t>
    </r>
  </si>
  <si>
    <t>grid electricity used in 2018 (kWh)</t>
  </si>
  <si>
    <t>Dominion</t>
  </si>
  <si>
    <t>APCO</t>
  </si>
  <si>
    <t>CVEC</t>
  </si>
  <si>
    <t>REC</t>
  </si>
  <si>
    <t>total</t>
  </si>
  <si>
    <t>govt/other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</si>
  <si>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 emissions from use of natural gas (Mg)</t>
    </r>
  </si>
  <si>
    <t>cubic feet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</si>
  <si>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 emissions from burning fossil fuels and wood to heat residences (Mg)</t>
    </r>
  </si>
  <si>
    <t>Average annual heating usage by local residence (MMBTU):</t>
  </si>
  <si>
    <t xml:space="preserve">fuel  </t>
  </si>
  <si>
    <t>units used per residence</t>
  </si>
  <si>
    <t>number of residences</t>
  </si>
  <si>
    <t>total units used</t>
  </si>
  <si>
    <t>fuel oils</t>
  </si>
  <si>
    <t>gallon</t>
  </si>
  <si>
    <t>propane</t>
  </si>
  <si>
    <t>liquid gallon</t>
  </si>
  <si>
    <t>wood</t>
  </si>
  <si>
    <t>electricity</t>
  </si>
  <si>
    <t>other fuels</t>
  </si>
  <si>
    <t>total emissions (t=Mg)</t>
  </si>
  <si>
    <t>EV subtraction*</t>
  </si>
  <si>
    <t>*Emissions resulting from charging electric vehicles (EVs) is subtracted from Stationary and included within Transportation to reflect source of induced emissions</t>
  </si>
  <si>
    <t>Waste</t>
  </si>
  <si>
    <t>municipal solid waste per capita (short tons)</t>
  </si>
  <si>
    <t>TJPDC</t>
  </si>
  <si>
    <t>https://tjpdc.org/our-work/solid-waste/</t>
  </si>
  <si>
    <t>municipal solid waste per capita (metric tons (t))</t>
  </si>
  <si>
    <t>Albemarle 2018 population</t>
  </si>
  <si>
    <t>US Census Bureau</t>
  </si>
  <si>
    <t>https://www.census.gov/data/tables/time-series/demo/popest/2010s-counties-total.html</t>
  </si>
  <si>
    <t>total municipal solid waste 2018 (t)</t>
  </si>
  <si>
    <t>Equations below from Global Protocol for Community-Scale Greenhouse Gas Emission Inventories</t>
  </si>
  <si>
    <t>Equation 8.3</t>
  </si>
  <si>
    <t>GPC p. 93</t>
  </si>
  <si>
    <t>CH₄ emissions = MSWₓ × L₀ × (1-fᵣₑc) × (1-OX)</t>
  </si>
  <si>
    <t>notes</t>
  </si>
  <si>
    <t>mass of solid waste sent to landfill (MSWₓ)</t>
  </si>
  <si>
    <t>methane generation potential (L₀)</t>
  </si>
  <si>
    <t>see equation 8.4 below</t>
  </si>
  <si>
    <t>fraction of methane recovered (fᵣₑc)</t>
  </si>
  <si>
    <t>fraction of methane recovered at landfill (flare or energy recovery) Source: https://www.epa.gov/lmop/benefits-landfill-gas-energy-projects</t>
  </si>
  <si>
    <t>oxidation factor (OX)</t>
  </si>
  <si>
    <t>assume 0.1 for well-managed landfills; 0 for unmanaged landfills</t>
  </si>
  <si>
    <t>CH₄ emissions (tonnes)</t>
  </si>
  <si>
    <t>CO₂e (tonnes)</t>
  </si>
  <si>
    <t>Equation 8.4</t>
  </si>
  <si>
    <t>GPC p. 94</t>
  </si>
  <si>
    <t>L₀ = MCF × DOC × DOCF × F × 16/12</t>
  </si>
  <si>
    <t>methane correction factor (MCF)</t>
  </si>
  <si>
    <t>based on type of landfill site (managed, unmanaged, etc., fraction); managed = 1</t>
  </si>
  <si>
    <t>degradable organic carbon (DOC) (tonnes C/tonnes waste)</t>
  </si>
  <si>
    <t>see equation 8.1 below</t>
  </si>
  <si>
    <t>fraction of DOC that is ultimately degraded (DOCF)</t>
  </si>
  <si>
    <t>reflects the fact that some organic carbon does not degrade; assumed to be 0.6</t>
  </si>
  <si>
    <t>fraction of methane in landfill gas (F)</t>
  </si>
  <si>
    <t>assume 0.5</t>
  </si>
  <si>
    <t>Equation 8.1</t>
  </si>
  <si>
    <t>GPC p. 90</t>
  </si>
  <si>
    <t>DOC = (0.15 × A) + (0.2 × B) + (0.4 × C) + (0.43 × D) + (0.24 × E) + (0.15 × F)</t>
  </si>
  <si>
    <t>waste constituent</t>
  </si>
  <si>
    <t>portion</t>
  </si>
  <si>
    <t>food (A)</t>
  </si>
  <si>
    <t>ICLEI Waste Composition – US Communities</t>
  </si>
  <si>
    <t>garden waste and other plant debris (B)</t>
  </si>
  <si>
    <t>Newspaper</t>
  </si>
  <si>
    <t>C = Paper</t>
  </si>
  <si>
    <t>paper (C)</t>
  </si>
  <si>
    <t>Office paper</t>
  </si>
  <si>
    <t>wood (D)</t>
  </si>
  <si>
    <t>Corrugated cardboard</t>
  </si>
  <si>
    <t>textiles (E)</t>
  </si>
  <si>
    <t>Magazines and 3rd class mail</t>
  </si>
  <si>
    <t>industrial waste (F)</t>
  </si>
  <si>
    <t>Food scraps</t>
  </si>
  <si>
    <t>A = Food</t>
  </si>
  <si>
    <t>Grass</t>
  </si>
  <si>
    <t>B = Garden</t>
  </si>
  <si>
    <t>Leaves</t>
  </si>
  <si>
    <t>Branches</t>
  </si>
  <si>
    <t>Lumber</t>
  </si>
  <si>
    <t>D = Lumber</t>
  </si>
  <si>
    <t>Agriculture</t>
  </si>
  <si>
    <t>Enteric Fermentation</t>
  </si>
  <si>
    <t>Methane from Manure</t>
  </si>
  <si>
    <t>Direct Nitrous Oxide from Manure</t>
  </si>
  <si>
    <t>Indirect Nitrous Oxide from Manure</t>
  </si>
  <si>
    <t>Livestock</t>
  </si>
  <si>
    <r>
      <t># animals</t>
    </r>
    <r>
      <rPr>
        <vertAlign val="superscript"/>
        <sz val="11"/>
        <color rgb="FF000000"/>
        <rFont val="Calibri"/>
        <family val="2"/>
      </rPr>
      <t>1</t>
    </r>
  </si>
  <si>
    <r>
      <t>GHG emission factor</t>
    </r>
    <r>
      <rPr>
        <vertAlign val="superscript"/>
        <sz val="11"/>
        <color rgb="FF000000"/>
        <rFont val="Calibri"/>
        <family val="2"/>
      </rPr>
      <t>2</t>
    </r>
    <r>
      <rPr>
        <sz val="11"/>
        <color rgb="FF000000"/>
        <rFont val="Calibri"/>
      </rPr>
      <t xml:space="preserve">
(kg CH4/head/year)</t>
    </r>
  </si>
  <si>
    <t>methane emissions (kg CH4/year)</t>
  </si>
  <si>
    <r>
      <t>CO2e emissions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(t=Mg)</t>
    </r>
  </si>
  <si>
    <r>
      <t>typical animal mass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(TAM) (kg)</t>
    </r>
  </si>
  <si>
    <r>
      <t>volitile solid (VS) rate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(kg/1000kg animal mass per day)</t>
    </r>
  </si>
  <si>
    <t>Waste Management System (WMS) – Drylot Percent</t>
  </si>
  <si>
    <r>
      <t>volitile solids (VS) excreted</t>
    </r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(kg/year)</t>
    </r>
  </si>
  <si>
    <t>maximum methane producing capacity4 (Bo) (m3 CH4/kg VS)</t>
  </si>
  <si>
    <r>
      <t>methane conversion factor (MCF)</t>
    </r>
    <r>
      <rPr>
        <vertAlign val="superscript"/>
        <sz val="11"/>
        <color theme="1"/>
        <rFont val="Calibri"/>
        <family val="2"/>
        <scheme val="minor"/>
      </rPr>
      <t>8</t>
    </r>
  </si>
  <si>
    <r>
      <t>annual methane emissions</t>
    </r>
    <r>
      <rPr>
        <b/>
        <vertAlign val="superscript"/>
        <sz val="11"/>
        <color theme="1"/>
        <rFont val="Calibri"/>
        <family val="2"/>
        <scheme val="minor"/>
      </rPr>
      <t>9</t>
    </r>
    <r>
      <rPr>
        <b/>
        <sz val="11"/>
        <color theme="1"/>
        <rFont val="Calibri"/>
        <family val="2"/>
        <scheme val="minor"/>
      </rPr>
      <t xml:space="preserve"> (as  MT CO2e)</t>
    </r>
  </si>
  <si>
    <t xml:space="preserve"> Kjeldahl nitrogen excreted5 (kg/day/1000 kg animal mass)</t>
  </si>
  <si>
    <r>
      <t>N Excreted</t>
    </r>
    <r>
      <rPr>
        <vertAlign val="super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 xml:space="preserve"> (kg/year)</t>
    </r>
  </si>
  <si>
    <r>
      <t>emission factor for direct N2O</t>
    </r>
    <r>
      <rPr>
        <vertAlign val="superscript"/>
        <sz val="11"/>
        <color theme="1"/>
        <rFont val="Calibri"/>
        <family val="2"/>
        <scheme val="minor"/>
      </rPr>
      <t>11</t>
    </r>
    <r>
      <rPr>
        <sz val="11"/>
        <color theme="1"/>
        <rFont val="Calibri"/>
        <family val="2"/>
        <scheme val="minor"/>
      </rPr>
      <t xml:space="preserve"> (kg N20-N/kg Kjdl-N)</t>
    </r>
  </si>
  <si>
    <r>
      <t>direct N2O emissions</t>
    </r>
    <r>
      <rPr>
        <b/>
        <vertAlign val="superscript"/>
        <sz val="11"/>
        <color theme="1"/>
        <rFont val="Calibri"/>
        <family val="2"/>
        <scheme val="minor"/>
      </rPr>
      <t>12</t>
    </r>
    <r>
      <rPr>
        <b/>
        <sz val="11"/>
        <color theme="1"/>
        <rFont val="Calibri"/>
        <family val="2"/>
        <scheme val="minor"/>
      </rPr>
      <t xml:space="preserve"> (as MT CO2e)</t>
    </r>
  </si>
  <si>
    <r>
      <t>volatilization nitrogen loss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(%)</t>
    </r>
  </si>
  <si>
    <r>
      <t>runoff/leaching nitrogen loss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 (%)</t>
    </r>
  </si>
  <si>
    <r>
      <t>indirect N2O emissions</t>
    </r>
    <r>
      <rPr>
        <b/>
        <vertAlign val="superscript"/>
        <sz val="11"/>
        <color theme="1"/>
        <rFont val="Calibri"/>
        <family val="2"/>
        <scheme val="minor"/>
      </rPr>
      <t>14</t>
    </r>
    <r>
      <rPr>
        <b/>
        <sz val="11"/>
        <color theme="1"/>
        <rFont val="Calibri"/>
        <family val="2"/>
        <scheme val="minor"/>
      </rPr>
      <t xml:space="preserve"> (as MT CO2e)</t>
    </r>
  </si>
  <si>
    <t>Cattle</t>
  </si>
  <si>
    <t>Equine</t>
  </si>
  <si>
    <t>Sheep</t>
  </si>
  <si>
    <t>Goats</t>
  </si>
  <si>
    <t>Swine</t>
  </si>
  <si>
    <t>Chickens</t>
  </si>
  <si>
    <t> </t>
  </si>
  <si>
    <t>Total MT CO2e</t>
  </si>
  <si>
    <t>footnote #</t>
  </si>
  <si>
    <t>source</t>
  </si>
  <si>
    <t>link</t>
  </si>
  <si>
    <t>2017 Census of Agriculture, Virginia</t>
  </si>
  <si>
    <t>https://www.nass.usda.gov/Publications/AgCensus/2017/Full_Report/Volume_1,_Chapter_2_County_Level/Virginia/</t>
  </si>
  <si>
    <t>US Community Protocol for Accounting and Reporting GHG Emissions, Appendix G: Agricultural Livestock Emissions Activities and Sources</t>
  </si>
  <si>
    <t>https://albemarlecountyva.sharepoint.com/:b:/r/sites/accpp/GHG%20Emissions/Community%20Emissions/ICLEI%20Community%20Protocol%20Version1.2/Appendix%20G%20-%20Agricultural%20Livestock%20Emission%20Activities%20and%20Sources%20-%20U.S.%20Community%20Protocol.pdf?csf=1&amp;web=1&amp;e=0GbtAj</t>
  </si>
  <si>
    <t>Appendix G: Tables A.1.1 &amp; A.1.2, page 28</t>
  </si>
  <si>
    <t>Apendix G: Equation A.1, page 9</t>
  </si>
  <si>
    <t>Appendix G: Table A.2.1.1, page 29</t>
  </si>
  <si>
    <t>Appendix G: Table A.2.3.3 &amp; A.2.3.4, pages 34 and 35</t>
  </si>
  <si>
    <t>Appendix G: Equations A.2.1.1a and b, pages 14 and 15</t>
  </si>
  <si>
    <t>Appendix G: Tables A.2.1.2 and A.2.1.3, pages 30 and 31</t>
  </si>
  <si>
    <t>Appendix G: Equations A.2.1.2, page 15</t>
  </si>
  <si>
    <t>Appendix G: Equation A.2.3.1a &amp; A.2.3.1b, page 22</t>
  </si>
  <si>
    <t>Appendix G: Table A.2.3.2, page 33</t>
  </si>
  <si>
    <t>Apendix G: Equation A.2.3.2, page 23</t>
  </si>
  <si>
    <t>Appendix G: Table A.2.4, page 38</t>
  </si>
  <si>
    <t>Appendix G: Equation A.2.4.2, page 25</t>
  </si>
  <si>
    <t>Local Government</t>
  </si>
  <si>
    <t>buildings - CO2e emissions due to energy use in County buildings</t>
  </si>
  <si>
    <t>energy source</t>
  </si>
  <si>
    <t>usage</t>
  </si>
  <si>
    <t>electricity (kWh)</t>
  </si>
  <si>
    <t>natural gas (cubic feet)</t>
  </si>
  <si>
    <t>fuel oil (gallons)</t>
  </si>
  <si>
    <t>propane (gallons)</t>
  </si>
  <si>
    <t>fleet fuel use - CO2e emissions due to government fleet</t>
  </si>
  <si>
    <t>fuel</t>
  </si>
  <si>
    <t>use (gal)</t>
  </si>
  <si>
    <t>gasoline</t>
  </si>
  <si>
    <t>ACPS Transportation Department documentation of fuel purchase, storage, and distribution for schools and local gov. fueling facilities</t>
  </si>
  <si>
    <t>diesel</t>
  </si>
  <si>
    <t>(1) ACPS Transportation Department; (2) ACFR individual diesel stations</t>
  </si>
  <si>
    <t>employee commute- CO2e emissions due to government fleet</t>
  </si>
  <si>
    <t>distance (miles)</t>
  </si>
  <si>
    <t>2018 total</t>
  </si>
  <si>
    <t>internal analysis based on location of homes and work</t>
  </si>
  <si>
    <t>2018 with 2008 distance cutoff methodology</t>
  </si>
  <si>
    <t>streetlights - CO2e emissions due to electrical (grid) usage (Mg)</t>
  </si>
  <si>
    <t>energy usage (kWh)</t>
  </si>
  <si>
    <t>Albemarle County Energy Management System, FAC Master Data tab</t>
  </si>
  <si>
    <t>Forestry</t>
  </si>
  <si>
    <t>net emissions</t>
  </si>
  <si>
    <t>Description: This data reflects the GHG effect of forest cover throughout the County, using a new module developed by ICLEI. It accounts for forest growth, forest loss, and afforestation of previously unforested areas.</t>
  </si>
  <si>
    <t>average annual effect (2008 - 2016) 
(tCO2e/yr)</t>
  </si>
  <si>
    <t>Region</t>
  </si>
  <si>
    <t>Land Cover / Conversion / Use</t>
  </si>
  <si>
    <t>Removals</t>
  </si>
  <si>
    <t xml:space="preserve">Emissions </t>
  </si>
  <si>
    <t>Urban</t>
  </si>
  <si>
    <t>Undisturbed Forest</t>
  </si>
  <si>
    <t>Summary Report GHG Inventory for Forests and Trees Outside Forests, 2008 to 2016</t>
  </si>
  <si>
    <t>https://www.albemarle.org/home/showdocument?id=10555&amp;t=637659250757638944</t>
  </si>
  <si>
    <t>Forest Disturbances</t>
  </si>
  <si>
    <t>Non-Forest to Forest</t>
  </si>
  <si>
    <t>Forest to Settlement</t>
  </si>
  <si>
    <t>Forest to Grassland</t>
  </si>
  <si>
    <t>Forest to other non-forest lands</t>
  </si>
  <si>
    <t>Trees outside of forests</t>
  </si>
  <si>
    <t>iTree Methodology</t>
  </si>
  <si>
    <t>https://canopy.itreetools.org/</t>
  </si>
  <si>
    <t>Harvested Wood Products</t>
  </si>
  <si>
    <t>Rural</t>
  </si>
  <si>
    <t>https://www.albemarle.org/home/showdocument?id=10557&amp;t=637659250477089015</t>
  </si>
  <si>
    <t>LEARN Tool (link downloads a spreadsheet)</t>
  </si>
  <si>
    <t>https://d1ps9kreypzu9a.cloudfront.net/GHGInventory/HWP%20Calculator.xlsx</t>
  </si>
  <si>
    <t>Entire County</t>
  </si>
  <si>
    <t>Net GHG Balance</t>
  </si>
  <si>
    <t>2018 Local Government Building Energy Use</t>
  </si>
  <si>
    <t>Electricity</t>
  </si>
  <si>
    <t>Natural Gas</t>
  </si>
  <si>
    <t>Fuel Oil</t>
  </si>
  <si>
    <t>Propane</t>
  </si>
  <si>
    <t>Type</t>
  </si>
  <si>
    <t>Name</t>
  </si>
  <si>
    <t>gross square feet (GSF)</t>
  </si>
  <si>
    <t>provider</t>
  </si>
  <si>
    <t>(kWh)</t>
  </si>
  <si>
    <t>MMBTU</t>
  </si>
  <si>
    <t>(cubic feet)</t>
  </si>
  <si>
    <t>(gallons)</t>
  </si>
  <si>
    <t>Site Energy Intesity (kBTU/SF)</t>
  </si>
  <si>
    <t>Schools</t>
  </si>
  <si>
    <t>Elementary</t>
  </si>
  <si>
    <t>Agnor Hurt</t>
  </si>
  <si>
    <t>Dom</t>
  </si>
  <si>
    <t>Baker Butler</t>
  </si>
  <si>
    <t>Broadus Woods</t>
  </si>
  <si>
    <t>Brownsville</t>
  </si>
  <si>
    <t>Crozet</t>
  </si>
  <si>
    <t>Greer</t>
  </si>
  <si>
    <t>Hollymead</t>
  </si>
  <si>
    <t>Meriwether Lewis</t>
  </si>
  <si>
    <t>Mountain View</t>
  </si>
  <si>
    <t>VL Murray</t>
  </si>
  <si>
    <t>Red Hill</t>
  </si>
  <si>
    <t>Scottsville</t>
  </si>
  <si>
    <t>Stone Robinson</t>
  </si>
  <si>
    <t>Stony Point</t>
  </si>
  <si>
    <t>Woodbrook</t>
  </si>
  <si>
    <t>Middle</t>
  </si>
  <si>
    <t>Burley</t>
  </si>
  <si>
    <t>Henley</t>
  </si>
  <si>
    <t>Jack Jouett</t>
  </si>
  <si>
    <t>Sutherland</t>
  </si>
  <si>
    <t>Walton</t>
  </si>
  <si>
    <t>High</t>
  </si>
  <si>
    <t>Albemarle</t>
  </si>
  <si>
    <t>Monticello</t>
  </si>
  <si>
    <t>Murray/CPCS</t>
  </si>
  <si>
    <t>Western</t>
  </si>
  <si>
    <t>Administration</t>
  </si>
  <si>
    <t>Building Services</t>
  </si>
  <si>
    <t>VMF Bus Shop</t>
  </si>
  <si>
    <t>VMF Bus Wash</t>
  </si>
  <si>
    <t>Public Schools Total</t>
  </si>
  <si>
    <t>Office Building</t>
  </si>
  <si>
    <t>McIntire Rd. COB</t>
  </si>
  <si>
    <t>5th Street COB</t>
  </si>
  <si>
    <t>Public Safety</t>
  </si>
  <si>
    <t>Court Square</t>
  </si>
  <si>
    <t>Regional Firearms Training</t>
  </si>
  <si>
    <t>Berkmar Rescue Station 8</t>
  </si>
  <si>
    <t>Hollymead Fire Station 12</t>
  </si>
  <si>
    <t>Monticello Fire Station 11</t>
  </si>
  <si>
    <t>Pantops Rescue Station 16</t>
  </si>
  <si>
    <t>Ivy Fire Station 15</t>
  </si>
  <si>
    <t>Library</t>
  </si>
  <si>
    <t>Northside</t>
  </si>
  <si>
    <t>Community Services</t>
  </si>
  <si>
    <t>Crozet Artisan Depot</t>
  </si>
  <si>
    <t>Crozet Arts and Field School</t>
  </si>
  <si>
    <t>Yancey</t>
  </si>
  <si>
    <t>Meadows</t>
  </si>
  <si>
    <t>Greenwood</t>
  </si>
  <si>
    <t>Parks and Recreation</t>
  </si>
  <si>
    <t>Beaver Creek</t>
  </si>
  <si>
    <t>Chris Green Lake</t>
  </si>
  <si>
    <t>Claudius Crozet</t>
  </si>
  <si>
    <t>Darden Towe</t>
  </si>
  <si>
    <t>Ivy Creek Natural Area</t>
  </si>
  <si>
    <t>McIntire Ball Field</t>
  </si>
  <si>
    <t>Mint Springs Valley</t>
  </si>
  <si>
    <t>Scottsville concession</t>
  </si>
  <si>
    <t>Scottsville Gym</t>
  </si>
  <si>
    <t>Dorrier</t>
  </si>
  <si>
    <t>Simpson</t>
  </si>
  <si>
    <t>Totier Creek</t>
  </si>
  <si>
    <t>Walnut Creek Lake</t>
  </si>
  <si>
    <t>Palm Reader Lady House</t>
  </si>
  <si>
    <t>Miscellaneous Outbuildings</t>
  </si>
  <si>
    <t>Local Government Total</t>
  </si>
  <si>
    <t>All Government Totals (Public Schools &amp; Local Gov)</t>
  </si>
  <si>
    <t>Total electrical energy use by provider</t>
  </si>
  <si>
    <t>kWh</t>
  </si>
  <si>
    <t>APCO Electric Utility</t>
  </si>
  <si>
    <t>CVEC Electric Utility</t>
  </si>
  <si>
    <t>Dominion Electric Utility</t>
  </si>
  <si>
    <t>REC Electric Utility</t>
  </si>
  <si>
    <t>Albemarle County Community Natural Gas Consumption</t>
  </si>
  <si>
    <t>GHG Sector</t>
  </si>
  <si>
    <t>Category</t>
  </si>
  <si>
    <t>Cville Gas Premise Classification</t>
  </si>
  <si>
    <t>FERC Code</t>
  </si>
  <si>
    <t>Consumption</t>
  </si>
  <si>
    <t>Cost</t>
  </si>
  <si>
    <t># of Accounts
(# customers x 12)</t>
  </si>
  <si>
    <t>Residential</t>
  </si>
  <si>
    <t>All Multifamily</t>
  </si>
  <si>
    <t>Multifamily (M)</t>
  </si>
  <si>
    <t>All FERC</t>
  </si>
  <si>
    <t>Government Multifamily</t>
  </si>
  <si>
    <t>Government (O)</t>
  </si>
  <si>
    <t>Non-Government Multifamily</t>
  </si>
  <si>
    <t>All Residential</t>
  </si>
  <si>
    <t xml:space="preserve">Residential (R) </t>
  </si>
  <si>
    <t>Government Residential</t>
  </si>
  <si>
    <t>Non-Government Residential</t>
  </si>
  <si>
    <t>Total Residential Sector (Multifamily + Residential + Residential Irrigation)</t>
  </si>
  <si>
    <t>Commerical</t>
  </si>
  <si>
    <t>Commercial Businesses</t>
  </si>
  <si>
    <t>Commercial (C)</t>
  </si>
  <si>
    <t>Medical Businesses</t>
  </si>
  <si>
    <t>Medical (E)</t>
  </si>
  <si>
    <t>Total Commercial Sector (Businesses + Medical + Commercial Irrigation)</t>
  </si>
  <si>
    <t>Industrial</t>
  </si>
  <si>
    <t>Industrial (I)</t>
  </si>
  <si>
    <t>Total Industrical Sector (Industrial + Industrial Irrigation)</t>
  </si>
  <si>
    <t>Government</t>
  </si>
  <si>
    <t>Government (G)</t>
  </si>
  <si>
    <t>Total Government Sector</t>
  </si>
  <si>
    <t>Account/Building Type</t>
  </si>
  <si>
    <t>cubic feet (cf)</t>
  </si>
  <si>
    <t>Residential including multifamily (non-gov)</t>
  </si>
  <si>
    <t>Commercial</t>
  </si>
  <si>
    <t>average consumption per residence</t>
  </si>
  <si>
    <t>non-government residential use (cf)</t>
  </si>
  <si>
    <t>annual use of natural gas per home (cf)</t>
  </si>
  <si>
    <t>annual energy use per residence (mmBTU)</t>
  </si>
  <si>
    <t>US  Census - American Community Survey (2018)</t>
  </si>
  <si>
    <t>https://data.census.gov/cedsci/table?q=S25&amp;g=0500000US51003&amp;d=ACS%201-Year%20Estimates%20Subject%20Tables&amp;tid=ACSST1Y2018.S2504&amp;hidePreview=true</t>
  </si>
  <si>
    <t>Total Albemarle residential  housing units</t>
  </si>
  <si>
    <t>Occupied housing units</t>
  </si>
  <si>
    <t xml:space="preserve">Main source of heating </t>
  </si>
  <si>
    <t># units</t>
  </si>
  <si>
    <t>%</t>
  </si>
  <si>
    <t>Utility Gas</t>
  </si>
  <si>
    <t>Bottled, tank, or LP Gas</t>
  </si>
  <si>
    <t>Fuel Oil, kerosene, etc.</t>
  </si>
  <si>
    <t>Coal or Coke</t>
  </si>
  <si>
    <t>Wood</t>
  </si>
  <si>
    <t>Solar</t>
  </si>
  <si>
    <t>Other Fuel</t>
  </si>
  <si>
    <t>No Fuel Used</t>
  </si>
  <si>
    <t>eGRID historical data</t>
  </si>
  <si>
    <t>eGRID subregion: SERC Virginia/Carolina</t>
  </si>
  <si>
    <t>https://www.epa.gov/egrid</t>
  </si>
  <si>
    <t>eGRID Year</t>
  </si>
  <si>
    <t>CO2e (lb/MWh)</t>
  </si>
  <si>
    <t>CO2e (kg/MWh)</t>
  </si>
  <si>
    <t>% reduction from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</si>
</sst>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_);_(* \(#,##0.000\);_(* &quot;-&quot;??_);_(@_)"/>
    <numFmt numFmtId="167" formatCode="0.00000"/>
    <numFmt numFmtId="168" formatCode="0.000"/>
    <numFmt numFmtId="169" formatCode="0.0"/>
    <numFmt numFmtId="170" formatCode="0.0%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4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F3F3F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0000"/>
      <name val="Calibri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</font>
    <font>
      <b/>
      <sz val="11"/>
      <color rgb="FF000000"/>
      <name val="Calibri"/>
    </font>
    <font>
      <vertAlign val="superscript"/>
      <sz val="11"/>
      <color rgb="FF000000"/>
      <name val="Calibri"/>
      <family val="2"/>
    </font>
    <font>
      <b/>
      <sz val="11"/>
      <color rgb="FF000000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4"/>
      <color rgb="FF000000"/>
      <name val="Calibri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EB9C"/>
      </patternFill>
    </fill>
    <fill>
      <patternFill patternType="solid">
        <fgColor rgb="FFF8CBAD"/>
        <bgColor indexed="64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rgb="FF7F7F7F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7" fillId="0" borderId="0" applyNumberFormat="0" applyFill="0" applyBorder="0" applyAlignment="0" applyProtection="0"/>
    <xf numFmtId="3" fontId="3" fillId="5" borderId="29">
      <alignment horizontal="right" indent="1"/>
    </xf>
    <xf numFmtId="0" fontId="17" fillId="18" borderId="0" applyNumberFormat="0" applyBorder="0" applyAlignment="0" applyProtection="0"/>
  </cellStyleXfs>
  <cellXfs count="317">
    <xf numFmtId="0" fontId="0" fillId="0" borderId="0" xfId="0"/>
    <xf numFmtId="0" fontId="6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7" fillId="0" borderId="0" xfId="5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5"/>
    <xf numFmtId="164" fontId="0" fillId="0" borderId="0" xfId="1" applyNumberFormat="1" applyFont="1"/>
    <xf numFmtId="0" fontId="0" fillId="0" borderId="2" xfId="0" applyBorder="1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6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2" xfId="0" applyFont="1" applyBorder="1"/>
    <xf numFmtId="0" fontId="0" fillId="0" borderId="0" xfId="0" applyBorder="1"/>
    <xf numFmtId="165" fontId="0" fillId="0" borderId="0" xfId="1" applyNumberFormat="1" applyFont="1"/>
    <xf numFmtId="43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2" fontId="0" fillId="0" borderId="0" xfId="0" applyNumberFormat="1"/>
    <xf numFmtId="0" fontId="6" fillId="0" borderId="2" xfId="0" applyFont="1" applyBorder="1" applyAlignment="1">
      <alignment horizontal="left"/>
    </xf>
    <xf numFmtId="0" fontId="11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/>
    <xf numFmtId="0" fontId="0" fillId="0" borderId="0" xfId="0" applyFont="1" applyBorder="1" applyAlignment="1">
      <alignment horizontal="left"/>
    </xf>
    <xf numFmtId="0" fontId="0" fillId="0" borderId="0" xfId="0" applyFont="1"/>
    <xf numFmtId="0" fontId="13" fillId="0" borderId="0" xfId="0" applyFont="1"/>
    <xf numFmtId="0" fontId="12" fillId="3" borderId="0" xfId="0" applyFont="1" applyFill="1"/>
    <xf numFmtId="0" fontId="0" fillId="3" borderId="0" xfId="0" applyFill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4" borderId="0" xfId="0" applyFill="1"/>
    <xf numFmtId="164" fontId="0" fillId="0" borderId="0" xfId="0" applyNumberFormat="1"/>
    <xf numFmtId="170" fontId="0" fillId="0" borderId="0" xfId="3" applyNumberFormat="1" applyFont="1"/>
    <xf numFmtId="43" fontId="0" fillId="0" borderId="0" xfId="0" applyNumberFormat="1"/>
    <xf numFmtId="1" fontId="0" fillId="0" borderId="0" xfId="0" applyNumberFormat="1"/>
    <xf numFmtId="0" fontId="5" fillId="0" borderId="0" xfId="0" applyFont="1"/>
    <xf numFmtId="0" fontId="0" fillId="0" borderId="0" xfId="0" applyFont="1" applyBorder="1" applyAlignment="1">
      <alignment horizontal="center"/>
    </xf>
    <xf numFmtId="3" fontId="0" fillId="0" borderId="0" xfId="0" applyNumberFormat="1"/>
    <xf numFmtId="3" fontId="0" fillId="0" borderId="2" xfId="0" applyNumberFormat="1" applyBorder="1"/>
    <xf numFmtId="0" fontId="14" fillId="0" borderId="0" xfId="0" applyFont="1" applyBorder="1"/>
    <xf numFmtId="0" fontId="0" fillId="0" borderId="0" xfId="0" applyAlignment="1">
      <alignment horizontal="left" indent="1"/>
    </xf>
    <xf numFmtId="0" fontId="0" fillId="0" borderId="0" xfId="0" applyFont="1" applyBorder="1"/>
    <xf numFmtId="0" fontId="0" fillId="0" borderId="2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Font="1" applyAlignment="1">
      <alignment horizontal="left" indent="1"/>
    </xf>
    <xf numFmtId="3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0" fillId="6" borderId="0" xfId="0" applyFill="1"/>
    <xf numFmtId="0" fontId="0" fillId="7" borderId="0" xfId="0" applyFill="1"/>
    <xf numFmtId="0" fontId="0" fillId="5" borderId="0" xfId="0" applyFill="1"/>
    <xf numFmtId="0" fontId="0" fillId="8" borderId="0" xfId="0" applyFill="1"/>
    <xf numFmtId="3" fontId="6" fillId="0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8" borderId="0" xfId="0" applyFill="1" applyAlignment="1">
      <alignment horizontal="center"/>
    </xf>
    <xf numFmtId="164" fontId="0" fillId="6" borderId="0" xfId="1" applyNumberFormat="1" applyFont="1" applyFill="1" applyAlignment="1">
      <alignment horizontal="center"/>
    </xf>
    <xf numFmtId="164" fontId="0" fillId="7" borderId="0" xfId="1" applyNumberFormat="1" applyFont="1" applyFill="1" applyAlignment="1">
      <alignment horizontal="center"/>
    </xf>
    <xf numFmtId="164" fontId="0" fillId="5" borderId="0" xfId="1" applyNumberFormat="1" applyFont="1" applyFill="1" applyAlignment="1">
      <alignment horizontal="center"/>
    </xf>
    <xf numFmtId="164" fontId="0" fillId="8" borderId="0" xfId="1" applyNumberFormat="1" applyFont="1" applyFill="1" applyAlignment="1">
      <alignment horizontal="center"/>
    </xf>
    <xf numFmtId="0" fontId="0" fillId="0" borderId="2" xfId="0" applyBorder="1" applyAlignment="1">
      <alignment horizontal="left" indent="1"/>
    </xf>
    <xf numFmtId="0" fontId="4" fillId="10" borderId="12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0" fillId="11" borderId="14" xfId="0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11" borderId="15" xfId="0" applyFill="1" applyBorder="1" applyAlignment="1">
      <alignment vertical="center"/>
    </xf>
    <xf numFmtId="0" fontId="0" fillId="11" borderId="18" xfId="0" applyFill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11" borderId="19" xfId="0" applyFill="1" applyBorder="1" applyAlignment="1">
      <alignment vertical="center"/>
    </xf>
    <xf numFmtId="0" fontId="0" fillId="0" borderId="18" xfId="0" applyBorder="1" applyAlignment="1">
      <alignment horizontal="left" vertical="center" wrapText="1"/>
    </xf>
    <xf numFmtId="0" fontId="0" fillId="3" borderId="18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11" borderId="18" xfId="0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11" borderId="19" xfId="0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0" fillId="11" borderId="24" xfId="0" applyFill="1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11" borderId="25" xfId="0" applyFill="1" applyBorder="1" applyAlignment="1">
      <alignment vertical="center"/>
    </xf>
    <xf numFmtId="3" fontId="0" fillId="0" borderId="0" xfId="0" applyNumberFormat="1" applyAlignment="1">
      <alignment horizontal="center"/>
    </xf>
    <xf numFmtId="164" fontId="0" fillId="11" borderId="16" xfId="1" applyNumberFormat="1" applyFont="1" applyFill="1" applyBorder="1" applyAlignment="1">
      <alignment horizontal="center"/>
    </xf>
    <xf numFmtId="164" fontId="0" fillId="3" borderId="16" xfId="1" applyNumberFormat="1" applyFont="1" applyFill="1" applyBorder="1" applyAlignment="1">
      <alignment horizontal="center"/>
    </xf>
    <xf numFmtId="44" fontId="0" fillId="11" borderId="16" xfId="2" applyFont="1" applyFill="1" applyBorder="1" applyAlignment="1">
      <alignment horizontal="center"/>
    </xf>
    <xf numFmtId="44" fontId="0" fillId="3" borderId="16" xfId="2" applyFont="1" applyFill="1" applyBorder="1" applyAlignment="1">
      <alignment horizontal="center"/>
    </xf>
    <xf numFmtId="0" fontId="6" fillId="3" borderId="0" xfId="0" applyFont="1" applyFill="1"/>
    <xf numFmtId="0" fontId="0" fillId="0" borderId="27" xfId="0" applyBorder="1" applyAlignment="1">
      <alignment horizontal="center" wrapText="1"/>
    </xf>
    <xf numFmtId="164" fontId="0" fillId="0" borderId="26" xfId="0" applyNumberFormat="1" applyBorder="1"/>
    <xf numFmtId="164" fontId="0" fillId="0" borderId="26" xfId="1" applyNumberFormat="1" applyFont="1" applyBorder="1"/>
    <xf numFmtId="0" fontId="6" fillId="0" borderId="0" xfId="0" applyFont="1" applyFill="1" applyBorder="1" applyAlignment="1">
      <alignment horizontal="center" wrapText="1"/>
    </xf>
    <xf numFmtId="0" fontId="0" fillId="0" borderId="0" xfId="0" applyFont="1" applyAlignment="1">
      <alignment horizontal="left" indent="2"/>
    </xf>
    <xf numFmtId="0" fontId="6" fillId="12" borderId="0" xfId="0" applyFont="1" applyFill="1"/>
    <xf numFmtId="0" fontId="0" fillId="5" borderId="0" xfId="0" applyFill="1" applyAlignment="1">
      <alignment horizontal="left" indent="1"/>
    </xf>
    <xf numFmtId="164" fontId="0" fillId="5" borderId="0" xfId="1" applyNumberFormat="1" applyFont="1" applyFill="1"/>
    <xf numFmtId="0" fontId="0" fillId="13" borderId="0" xfId="0" applyFill="1" applyAlignment="1">
      <alignment horizontal="left" indent="1"/>
    </xf>
    <xf numFmtId="0" fontId="0" fillId="13" borderId="0" xfId="0" applyFont="1" applyFill="1" applyAlignment="1">
      <alignment horizontal="left" indent="2"/>
    </xf>
    <xf numFmtId="0" fontId="0" fillId="14" borderId="0" xfId="0" applyFont="1" applyFill="1" applyAlignment="1">
      <alignment horizontal="left" indent="1"/>
    </xf>
    <xf numFmtId="0" fontId="0" fillId="8" borderId="0" xfId="0" applyFont="1" applyFill="1" applyAlignment="1">
      <alignment horizontal="left" indent="1"/>
    </xf>
    <xf numFmtId="0" fontId="6" fillId="0" borderId="0" xfId="0" applyFont="1" applyFill="1"/>
    <xf numFmtId="0" fontId="0" fillId="0" borderId="0" xfId="0" applyFill="1"/>
    <xf numFmtId="164" fontId="0" fillId="13" borderId="0" xfId="1" applyNumberFormat="1" applyFont="1" applyFill="1"/>
    <xf numFmtId="164" fontId="0" fillId="14" borderId="0" xfId="1" applyNumberFormat="1" applyFont="1" applyFill="1"/>
    <xf numFmtId="164" fontId="0" fillId="8" borderId="0" xfId="1" applyNumberFormat="1" applyFont="1" applyFill="1"/>
    <xf numFmtId="0" fontId="6" fillId="12" borderId="0" xfId="0" applyFont="1" applyFill="1" applyAlignment="1">
      <alignment horizontal="left"/>
    </xf>
    <xf numFmtId="164" fontId="0" fillId="12" borderId="0" xfId="1" applyNumberFormat="1" applyFont="1" applyFill="1"/>
    <xf numFmtId="164" fontId="0" fillId="12" borderId="0" xfId="0" applyNumberFormat="1" applyFill="1"/>
    <xf numFmtId="3" fontId="0" fillId="0" borderId="2" xfId="0" applyNumberFormat="1" applyBorder="1" applyAlignment="1">
      <alignment horizontal="center"/>
    </xf>
    <xf numFmtId="0" fontId="2" fillId="2" borderId="1" xfId="4" applyAlignment="1">
      <alignment horizontal="center"/>
    </xf>
    <xf numFmtId="0" fontId="2" fillId="2" borderId="1" xfId="4" applyAlignment="1">
      <alignment horizontal="center" vertical="center"/>
    </xf>
    <xf numFmtId="0" fontId="2" fillId="2" borderId="1" xfId="4"/>
    <xf numFmtId="43" fontId="2" fillId="2" borderId="1" xfId="4" applyNumberFormat="1"/>
    <xf numFmtId="164" fontId="2" fillId="2" borderId="1" xfId="4" applyNumberFormat="1"/>
    <xf numFmtId="2" fontId="2" fillId="2" borderId="1" xfId="4" applyNumberFormat="1"/>
    <xf numFmtId="166" fontId="2" fillId="2" borderId="1" xfId="4" applyNumberFormat="1"/>
    <xf numFmtId="3" fontId="2" fillId="2" borderId="1" xfId="4" applyNumberFormat="1"/>
    <xf numFmtId="164" fontId="2" fillId="2" borderId="1" xfId="1" applyNumberFormat="1" applyFont="1" applyFill="1" applyBorder="1"/>
    <xf numFmtId="164" fontId="2" fillId="2" borderId="28" xfId="4" applyNumberFormat="1" applyBorder="1"/>
    <xf numFmtId="3" fontId="3" fillId="5" borderId="29" xfId="6">
      <alignment horizontal="right" indent="1"/>
    </xf>
    <xf numFmtId="3" fontId="3" fillId="5" borderId="31" xfId="6" applyBorder="1">
      <alignment horizontal="right" indent="1"/>
    </xf>
    <xf numFmtId="3" fontId="3" fillId="5" borderId="30" xfId="6" applyBorder="1">
      <alignment horizontal="right" indent="1"/>
    </xf>
    <xf numFmtId="3" fontId="2" fillId="2" borderId="1" xfId="4" applyNumberFormat="1" applyAlignment="1">
      <alignment horizontal="center" vertical="center"/>
    </xf>
    <xf numFmtId="0" fontId="6" fillId="0" borderId="0" xfId="0" applyFont="1" applyAlignment="1">
      <alignment vertical="center"/>
    </xf>
    <xf numFmtId="0" fontId="14" fillId="0" borderId="0" xfId="0" applyFont="1" applyFill="1" applyBorder="1" applyAlignment="1">
      <alignment horizontal="center" wrapText="1"/>
    </xf>
    <xf numFmtId="3" fontId="2" fillId="2" borderId="32" xfId="4" applyNumberFormat="1" applyBorder="1"/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left" wrapText="1"/>
    </xf>
    <xf numFmtId="0" fontId="14" fillId="0" borderId="2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4" fontId="2" fillId="2" borderId="1" xfId="4" applyNumberFormat="1" applyAlignment="1">
      <alignment horizontal="center"/>
    </xf>
    <xf numFmtId="3" fontId="2" fillId="2" borderId="1" xfId="4" applyNumberFormat="1" applyAlignment="1">
      <alignment horizontal="center"/>
    </xf>
    <xf numFmtId="170" fontId="0" fillId="0" borderId="0" xfId="0" applyNumberFormat="1" applyBorder="1" applyAlignment="1">
      <alignment horizontal="center"/>
    </xf>
    <xf numFmtId="3" fontId="2" fillId="2" borderId="32" xfId="4" applyNumberForma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3" fontId="0" fillId="0" borderId="0" xfId="0" applyNumberFormat="1" applyBorder="1" applyAlignment="1">
      <alignment horizontal="center"/>
    </xf>
    <xf numFmtId="3" fontId="0" fillId="0" borderId="0" xfId="0" applyNumberFormat="1" applyBorder="1" applyAlignment="1"/>
    <xf numFmtId="170" fontId="0" fillId="0" borderId="2" xfId="0" applyNumberFormat="1" applyBorder="1" applyAlignment="1">
      <alignment horizontal="center"/>
    </xf>
    <xf numFmtId="0" fontId="14" fillId="0" borderId="0" xfId="0" applyFont="1" applyFill="1" applyBorder="1" applyAlignment="1">
      <alignment horizontal="left" wrapText="1"/>
    </xf>
    <xf numFmtId="0" fontId="7" fillId="0" borderId="0" xfId="5" applyAlignment="1">
      <alignment vertical="center"/>
    </xf>
    <xf numFmtId="165" fontId="15" fillId="0" borderId="0" xfId="0" applyNumberFormat="1" applyFont="1"/>
    <xf numFmtId="0" fontId="15" fillId="0" borderId="0" xfId="0" applyFont="1" applyAlignment="1">
      <alignment horizontal="left" indent="1"/>
    </xf>
    <xf numFmtId="0" fontId="6" fillId="0" borderId="0" xfId="0" applyFont="1" applyBorder="1" applyAlignment="1"/>
    <xf numFmtId="3" fontId="3" fillId="5" borderId="33" xfId="6" applyBorder="1">
      <alignment horizontal="right" indent="1"/>
    </xf>
    <xf numFmtId="164" fontId="0" fillId="0" borderId="0" xfId="0" applyNumberFormat="1" applyBorder="1"/>
    <xf numFmtId="3" fontId="3" fillId="5" borderId="34" xfId="6" applyBorder="1">
      <alignment horizontal="right" indent="1"/>
    </xf>
    <xf numFmtId="164" fontId="6" fillId="0" borderId="0" xfId="0" applyNumberFormat="1" applyFont="1" applyBorder="1"/>
    <xf numFmtId="3" fontId="3" fillId="0" borderId="0" xfId="6" applyFill="1" applyBorder="1">
      <alignment horizontal="right" indent="1"/>
    </xf>
    <xf numFmtId="10" fontId="0" fillId="0" borderId="0" xfId="3" applyNumberFormat="1" applyFont="1"/>
    <xf numFmtId="0" fontId="0" fillId="0" borderId="0" xfId="0" applyBorder="1" applyAlignment="1">
      <alignment horizontal="center"/>
    </xf>
    <xf numFmtId="164" fontId="0" fillId="0" borderId="35" xfId="0" applyNumberFormat="1" applyBorder="1"/>
    <xf numFmtId="170" fontId="0" fillId="0" borderId="2" xfId="3" applyNumberFormat="1" applyFont="1" applyBorder="1"/>
    <xf numFmtId="43" fontId="0" fillId="0" borderId="2" xfId="0" applyNumberFormat="1" applyBorder="1"/>
    <xf numFmtId="170" fontId="6" fillId="0" borderId="0" xfId="0" applyNumberFormat="1" applyFont="1"/>
    <xf numFmtId="0" fontId="0" fillId="16" borderId="0" xfId="0" applyFill="1" applyAlignment="1">
      <alignment horizontal="left"/>
    </xf>
    <xf numFmtId="0" fontId="14" fillId="0" borderId="0" xfId="0" applyFont="1" applyAlignment="1">
      <alignment horizontal="right"/>
    </xf>
    <xf numFmtId="0" fontId="0" fillId="0" borderId="2" xfId="0" applyFont="1" applyBorder="1" applyAlignment="1">
      <alignment horizontal="center" wrapText="1"/>
    </xf>
    <xf numFmtId="3" fontId="3" fillId="5" borderId="29" xfId="6" applyNumberFormat="1">
      <alignment horizontal="right" indent="1"/>
    </xf>
    <xf numFmtId="3" fontId="0" fillId="0" borderId="0" xfId="0" applyNumberFormat="1" applyFill="1"/>
    <xf numFmtId="10" fontId="6" fillId="0" borderId="0" xfId="3" applyNumberFormat="1" applyFont="1"/>
    <xf numFmtId="164" fontId="17" fillId="18" borderId="0" xfId="7" applyNumberFormat="1"/>
    <xf numFmtId="164" fontId="17" fillId="18" borderId="0" xfId="7" applyNumberFormat="1" applyBorder="1"/>
    <xf numFmtId="0" fontId="14" fillId="0" borderId="0" xfId="5" applyFont="1"/>
    <xf numFmtId="0" fontId="0" fillId="0" borderId="0" xfId="0" applyFill="1" applyAlignment="1">
      <alignment horizontal="center" vertical="center" wrapText="1"/>
    </xf>
    <xf numFmtId="164" fontId="0" fillId="0" borderId="0" xfId="1" applyNumberFormat="1" applyFont="1" applyFill="1"/>
    <xf numFmtId="164" fontId="0" fillId="0" borderId="0" xfId="0" applyNumberFormat="1" applyFill="1"/>
    <xf numFmtId="3" fontId="0" fillId="0" borderId="0" xfId="0" applyNumberFormat="1" applyAlignment="1">
      <alignment wrapText="1"/>
    </xf>
    <xf numFmtId="0" fontId="0" fillId="19" borderId="0" xfId="0" applyFill="1" applyAlignment="1">
      <alignment horizontal="left" indent="1"/>
    </xf>
    <xf numFmtId="0" fontId="0" fillId="17" borderId="0" xfId="0" applyFill="1" applyAlignment="1">
      <alignment horizontal="left" indent="1"/>
    </xf>
    <xf numFmtId="0" fontId="0" fillId="5" borderId="0" xfId="0" applyFill="1" applyAlignment="1">
      <alignment horizontal="left" indent="2"/>
    </xf>
    <xf numFmtId="0" fontId="0" fillId="13" borderId="0" xfId="0" applyFill="1" applyAlignment="1">
      <alignment horizontal="left" indent="2"/>
    </xf>
    <xf numFmtId="0" fontId="18" fillId="0" borderId="0" xfId="0" applyFont="1" applyAlignment="1">
      <alignment wrapText="1"/>
    </xf>
    <xf numFmtId="0" fontId="18" fillId="0" borderId="2" xfId="0" applyFont="1" applyBorder="1" applyAlignment="1">
      <alignment horizontal="center" wrapText="1"/>
    </xf>
    <xf numFmtId="0" fontId="19" fillId="0" borderId="0" xfId="0" applyFont="1" applyAlignment="1"/>
    <xf numFmtId="2" fontId="18" fillId="0" borderId="0" xfId="0" applyNumberFormat="1" applyFont="1" applyAlignment="1">
      <alignment wrapText="1"/>
    </xf>
    <xf numFmtId="0" fontId="20" fillId="0" borderId="2" xfId="0" applyFont="1" applyBorder="1" applyAlignment="1">
      <alignment horizontal="center" wrapText="1"/>
    </xf>
    <xf numFmtId="9" fontId="18" fillId="0" borderId="0" xfId="3" applyFont="1" applyAlignment="1">
      <alignment wrapText="1"/>
    </xf>
    <xf numFmtId="170" fontId="0" fillId="0" borderId="0" xfId="0" applyNumberFormat="1"/>
    <xf numFmtId="0" fontId="4" fillId="10" borderId="11" xfId="0" applyFont="1" applyFill="1" applyBorder="1" applyAlignment="1">
      <alignment horizontal="center" vertical="center" wrapText="1"/>
    </xf>
    <xf numFmtId="3" fontId="18" fillId="19" borderId="0" xfId="0" applyNumberFormat="1" applyFont="1" applyFill="1" applyAlignment="1">
      <alignment wrapText="1"/>
    </xf>
    <xf numFmtId="3" fontId="18" fillId="0" borderId="0" xfId="0" applyNumberFormat="1" applyFont="1" applyFill="1" applyAlignment="1">
      <alignment wrapText="1"/>
    </xf>
    <xf numFmtId="3" fontId="3" fillId="0" borderId="29" xfId="6" applyFill="1">
      <alignment horizontal="right" indent="1"/>
    </xf>
    <xf numFmtId="0" fontId="18" fillId="0" borderId="0" xfId="0" applyFont="1" applyAlignment="1"/>
    <xf numFmtId="0" fontId="18" fillId="0" borderId="0" xfId="0" applyFont="1" applyFill="1" applyAlignment="1"/>
    <xf numFmtId="3" fontId="16" fillId="0" borderId="0" xfId="6" applyFont="1" applyFill="1" applyBorder="1" applyAlignment="1">
      <alignment horizontal="center"/>
    </xf>
    <xf numFmtId="3" fontId="6" fillId="0" borderId="0" xfId="0" applyNumberFormat="1" applyFont="1"/>
    <xf numFmtId="0" fontId="21" fillId="0" borderId="2" xfId="0" applyFont="1" applyBorder="1" applyAlignment="1"/>
    <xf numFmtId="0" fontId="20" fillId="0" borderId="2" xfId="0" applyFont="1" applyBorder="1" applyAlignment="1">
      <alignment horizontal="center"/>
    </xf>
    <xf numFmtId="0" fontId="24" fillId="0" borderId="0" xfId="0" applyFont="1" applyAlignment="1"/>
    <xf numFmtId="0" fontId="22" fillId="0" borderId="0" xfId="0" applyFont="1" applyFill="1" applyAlignment="1"/>
    <xf numFmtId="9" fontId="0" fillId="0" borderId="0" xfId="3" applyFont="1"/>
    <xf numFmtId="169" fontId="2" fillId="2" borderId="1" xfId="4" applyNumberFormat="1"/>
    <xf numFmtId="4" fontId="0" fillId="0" borderId="0" xfId="0" applyNumberFormat="1"/>
    <xf numFmtId="0" fontId="6" fillId="15" borderId="0" xfId="0" applyFont="1" applyFill="1"/>
    <xf numFmtId="10" fontId="0" fillId="5" borderId="0" xfId="0" applyNumberFormat="1" applyFill="1"/>
    <xf numFmtId="0" fontId="0" fillId="14" borderId="0" xfId="0" applyFill="1"/>
    <xf numFmtId="10" fontId="0" fillId="14" borderId="0" xfId="0" applyNumberFormat="1" applyFill="1"/>
    <xf numFmtId="0" fontId="0" fillId="11" borderId="0" xfId="0" applyFill="1"/>
    <xf numFmtId="10" fontId="0" fillId="11" borderId="0" xfId="0" applyNumberFormat="1" applyFill="1"/>
    <xf numFmtId="0" fontId="0" fillId="13" borderId="0" xfId="0" applyFill="1"/>
    <xf numFmtId="10" fontId="0" fillId="13" borderId="0" xfId="0" applyNumberFormat="1" applyFill="1"/>
    <xf numFmtId="0" fontId="0" fillId="14" borderId="0" xfId="0" applyFill="1" applyAlignment="1">
      <alignment horizontal="center"/>
    </xf>
    <xf numFmtId="10" fontId="0" fillId="14" borderId="0" xfId="0" applyNumberFormat="1" applyFill="1" applyAlignment="1">
      <alignment horizontal="center"/>
    </xf>
    <xf numFmtId="0" fontId="0" fillId="13" borderId="0" xfId="0" applyFill="1" applyAlignment="1">
      <alignment horizontal="center"/>
    </xf>
    <xf numFmtId="10" fontId="0" fillId="13" borderId="0" xfId="0" applyNumberFormat="1" applyFill="1" applyAlignment="1">
      <alignment horizontal="center"/>
    </xf>
    <xf numFmtId="10" fontId="2" fillId="2" borderId="1" xfId="4" applyNumberFormat="1"/>
    <xf numFmtId="168" fontId="2" fillId="2" borderId="1" xfId="4" applyNumberFormat="1"/>
    <xf numFmtId="9" fontId="2" fillId="2" borderId="1" xfId="4" applyNumberFormat="1"/>
    <xf numFmtId="164" fontId="0" fillId="8" borderId="2" xfId="1" applyNumberFormat="1" applyFont="1" applyFill="1" applyBorder="1"/>
    <xf numFmtId="0" fontId="0" fillId="8" borderId="2" xfId="0" applyFont="1" applyFill="1" applyBorder="1" applyAlignment="1">
      <alignment horizontal="left" indent="1"/>
    </xf>
    <xf numFmtId="0" fontId="6" fillId="8" borderId="0" xfId="0" applyFont="1" applyFill="1" applyAlignment="1">
      <alignment horizontal="left" indent="1"/>
    </xf>
    <xf numFmtId="164" fontId="6" fillId="8" borderId="0" xfId="1" applyNumberFormat="1" applyFont="1" applyFill="1"/>
    <xf numFmtId="0" fontId="28" fillId="0" borderId="0" xfId="0" applyFont="1"/>
    <xf numFmtId="0" fontId="0" fillId="0" borderId="0" xfId="0" applyFont="1" applyFill="1" applyAlignment="1">
      <alignment horizontal="left" indent="1"/>
    </xf>
    <xf numFmtId="164" fontId="5" fillId="0" borderId="0" xfId="1" applyNumberFormat="1" applyFont="1" applyFill="1"/>
    <xf numFmtId="3" fontId="0" fillId="0" borderId="0" xfId="0" applyNumberFormat="1" applyAlignment="1">
      <alignment horizontal="left"/>
    </xf>
    <xf numFmtId="3" fontId="0" fillId="0" borderId="36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29" fillId="0" borderId="0" xfId="0" applyFont="1"/>
    <xf numFmtId="0" fontId="30" fillId="0" borderId="0" xfId="0" applyFont="1"/>
    <xf numFmtId="0" fontId="20" fillId="0" borderId="2" xfId="0" applyFont="1" applyBorder="1" applyAlignment="1">
      <alignment wrapText="1"/>
    </xf>
    <xf numFmtId="2" fontId="18" fillId="0" borderId="0" xfId="0" applyNumberFormat="1" applyFont="1" applyFill="1" applyAlignment="1">
      <alignment wrapText="1"/>
    </xf>
    <xf numFmtId="0" fontId="18" fillId="0" borderId="0" xfId="0" applyFont="1" applyBorder="1" applyAlignment="1">
      <alignment wrapText="1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2" fontId="18" fillId="0" borderId="0" xfId="0" applyNumberFormat="1" applyFont="1" applyFill="1" applyBorder="1" applyAlignment="1">
      <alignment wrapText="1"/>
    </xf>
    <xf numFmtId="2" fontId="18" fillId="0" borderId="0" xfId="0" applyNumberFormat="1" applyFont="1" applyBorder="1" applyAlignment="1">
      <alignment wrapText="1"/>
    </xf>
    <xf numFmtId="9" fontId="18" fillId="0" borderId="0" xfId="3" applyFont="1" applyBorder="1" applyAlignment="1">
      <alignment wrapText="1"/>
    </xf>
    <xf numFmtId="164" fontId="0" fillId="13" borderId="2" xfId="1" applyNumberFormat="1" applyFont="1" applyFill="1" applyBorder="1" applyAlignment="1">
      <alignment horizontal="right"/>
    </xf>
    <xf numFmtId="0" fontId="27" fillId="13" borderId="0" xfId="0" applyFont="1" applyFill="1" applyAlignment="1">
      <alignment horizontal="right" indent="2"/>
    </xf>
    <xf numFmtId="164" fontId="27" fillId="13" borderId="0" xfId="1" applyNumberFormat="1" applyFont="1" applyFill="1" applyAlignment="1">
      <alignment horizontal="right"/>
    </xf>
    <xf numFmtId="164" fontId="14" fillId="0" borderId="0" xfId="1" applyNumberFormat="1" applyFont="1" applyFill="1" applyAlignment="1">
      <alignment horizontal="right"/>
    </xf>
    <xf numFmtId="0" fontId="7" fillId="0" borderId="0" xfId="5" applyBorder="1"/>
    <xf numFmtId="9" fontId="0" fillId="0" borderId="0" xfId="3" applyFont="1" applyBorder="1"/>
    <xf numFmtId="3" fontId="14" fillId="0" borderId="0" xfId="0" applyNumberFormat="1" applyFont="1" applyBorder="1"/>
    <xf numFmtId="164" fontId="31" fillId="5" borderId="0" xfId="1" applyNumberFormat="1" applyFont="1" applyFill="1"/>
    <xf numFmtId="164" fontId="31" fillId="13" borderId="0" xfId="1" applyNumberFormat="1" applyFont="1" applyFill="1"/>
    <xf numFmtId="164" fontId="31" fillId="12" borderId="0" xfId="1" applyNumberFormat="1" applyFont="1" applyFill="1"/>
    <xf numFmtId="3" fontId="31" fillId="13" borderId="0" xfId="0" applyNumberFormat="1" applyFont="1" applyFill="1"/>
    <xf numFmtId="3" fontId="31" fillId="13" borderId="2" xfId="0" applyNumberFormat="1" applyFont="1" applyFill="1" applyBorder="1"/>
    <xf numFmtId="164" fontId="32" fillId="13" borderId="0" xfId="1" applyNumberFormat="1" applyFont="1" applyFill="1" applyAlignment="1">
      <alignment horizontal="right"/>
    </xf>
    <xf numFmtId="3" fontId="31" fillId="0" borderId="0" xfId="0" applyNumberFormat="1" applyFont="1"/>
    <xf numFmtId="164" fontId="31" fillId="14" borderId="0" xfId="1" applyNumberFormat="1" applyFont="1" applyFill="1"/>
    <xf numFmtId="0" fontId="31" fillId="0" borderId="0" xfId="0" applyFont="1"/>
    <xf numFmtId="164" fontId="31" fillId="8" borderId="0" xfId="1" applyNumberFormat="1" applyFont="1" applyFill="1"/>
    <xf numFmtId="164" fontId="0" fillId="0" borderId="0" xfId="1" applyNumberFormat="1" applyFont="1" applyFill="1" applyBorder="1"/>
    <xf numFmtId="164" fontId="0" fillId="0" borderId="37" xfId="0" applyNumberFormat="1" applyBorder="1"/>
    <xf numFmtId="164" fontId="0" fillId="0" borderId="36" xfId="1" applyNumberFormat="1" applyFont="1" applyFill="1" applyBorder="1"/>
    <xf numFmtId="43" fontId="0" fillId="0" borderId="36" xfId="0" applyNumberFormat="1" applyBorder="1"/>
    <xf numFmtId="164" fontId="0" fillId="0" borderId="37" xfId="0" applyNumberFormat="1" applyFont="1" applyBorder="1"/>
    <xf numFmtId="0" fontId="0" fillId="0" borderId="36" xfId="0" applyBorder="1" applyAlignment="1">
      <alignment horizontal="center"/>
    </xf>
    <xf numFmtId="164" fontId="0" fillId="0" borderId="36" xfId="0" applyNumberFormat="1" applyBorder="1"/>
    <xf numFmtId="164" fontId="0" fillId="0" borderId="38" xfId="0" applyNumberFormat="1" applyBorder="1"/>
    <xf numFmtId="164" fontId="0" fillId="0" borderId="39" xfId="1" applyNumberFormat="1" applyFont="1" applyBorder="1"/>
    <xf numFmtId="164" fontId="0" fillId="0" borderId="12" xfId="1" applyNumberFormat="1" applyFont="1" applyBorder="1"/>
    <xf numFmtId="164" fontId="0" fillId="0" borderId="40" xfId="1" applyNumberFormat="1" applyFont="1" applyBorder="1"/>
    <xf numFmtId="3" fontId="0" fillId="0" borderId="0" xfId="0" applyNumberFormat="1" applyFill="1" applyAlignment="1">
      <alignment horizontal="center"/>
    </xf>
    <xf numFmtId="3" fontId="2" fillId="2" borderId="1" xfId="4" applyNumberFormat="1" applyAlignment="1">
      <alignment horizontal="right" indent="1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3" fontId="3" fillId="5" borderId="29" xfId="6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7" fillId="0" borderId="0" xfId="5" applyFill="1" applyBorder="1" applyAlignment="1"/>
    <xf numFmtId="0" fontId="0" fillId="15" borderId="0" xfId="0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5" borderId="0" xfId="0" applyFill="1" applyAlignment="1">
      <alignment horizontal="center" vertical="center"/>
    </xf>
    <xf numFmtId="10" fontId="0" fillId="5" borderId="0" xfId="0" applyNumberForma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10" fontId="0" fillId="11" borderId="0" xfId="0" applyNumberFormat="1" applyFill="1" applyAlignment="1">
      <alignment horizontal="center" vertical="center"/>
    </xf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3" fontId="3" fillId="5" borderId="29" xfId="6" applyAlignment="1">
      <alignment horizontal="center"/>
    </xf>
    <xf numFmtId="0" fontId="6" fillId="0" borderId="0" xfId="0" applyFont="1" applyAlignment="1">
      <alignment horizontal="center" wrapText="1"/>
    </xf>
    <xf numFmtId="0" fontId="27" fillId="0" borderId="0" xfId="0" applyFont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4" fillId="9" borderId="7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</cellXfs>
  <cellStyles count="8">
    <cellStyle name="CO2e output" xfId="6" xr:uid="{4009E71A-06BB-46F6-96F5-DE13211DDD18}"/>
    <cellStyle name="Comma" xfId="1" builtinId="3"/>
    <cellStyle name="Currency" xfId="2" builtinId="4"/>
    <cellStyle name="Hyperlink" xfId="5" builtinId="8"/>
    <cellStyle name="Input" xfId="4" builtinId="20"/>
    <cellStyle name="Neutral" xfId="7" builtinId="2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local government</a:t>
            </a:r>
            <a:r>
              <a:rPr lang="en-US" baseline="0"/>
              <a:t> emissions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Summary!$B$31</c:f>
              <c:strCache>
                <c:ptCount val="1"/>
                <c:pt idx="0">
                  <c:v>vehicle fleet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Summary!$C$28:$F$28</c:f>
              <c:numCache>
                <c:formatCode>General</c:formatCode>
                <c:ptCount val="4"/>
                <c:pt idx="0">
                  <c:v>2000</c:v>
                </c:pt>
                <c:pt idx="1">
                  <c:v>2006</c:v>
                </c:pt>
                <c:pt idx="2">
                  <c:v>2008</c:v>
                </c:pt>
                <c:pt idx="3">
                  <c:v>2018</c:v>
                </c:pt>
              </c:numCache>
            </c:numRef>
          </c:cat>
          <c:val>
            <c:numRef>
              <c:f>Summary!$C$31:$F$31</c:f>
              <c:numCache>
                <c:formatCode>_(* #,##0_);_(* \(#,##0\);_(* "-"??_);_(@_)</c:formatCode>
                <c:ptCount val="4"/>
                <c:pt idx="0">
                  <c:v>8027</c:v>
                </c:pt>
                <c:pt idx="1">
                  <c:v>35696</c:v>
                </c:pt>
                <c:pt idx="2">
                  <c:v>9247</c:v>
                </c:pt>
                <c:pt idx="3">
                  <c:v>7903.2402899999997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BB-4F9D-8FFF-6D4783EE019C}"/>
            </c:ext>
          </c:extLst>
        </c:ser>
        <c:ser>
          <c:idx val="1"/>
          <c:order val="1"/>
          <c:tx>
            <c:strRef>
              <c:f>Summary!$B$32</c:f>
              <c:strCache>
                <c:ptCount val="1"/>
                <c:pt idx="0">
                  <c:v>employee commute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Summary!$C$32:$F$32</c:f>
              <c:numCache>
                <c:formatCode>_(* #,##0_);_(* \(#,##0\);_(* "-"??_);_(@_)</c:formatCode>
                <c:ptCount val="4"/>
                <c:pt idx="0">
                  <c:v>20224</c:v>
                </c:pt>
                <c:pt idx="1">
                  <c:v>21576</c:v>
                </c:pt>
                <c:pt idx="2">
                  <c:v>26120</c:v>
                </c:pt>
                <c:pt idx="3">
                  <c:v>6647.6841601799997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9-443A-A8BE-AB83B8C61D9A}"/>
            </c:ext>
          </c:extLst>
        </c:ser>
        <c:ser>
          <c:idx val="2"/>
          <c:order val="2"/>
          <c:tx>
            <c:strRef>
              <c:f>Summary!$B$35</c:f>
              <c:strCache>
                <c:ptCount val="1"/>
                <c:pt idx="0">
                  <c:v>buildings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Summary!$C$35:$F$35</c:f>
              <c:numCache>
                <c:formatCode>_(* #,##0_);_(* \(#,##0\);_(* "-"??_);_(@_)</c:formatCode>
                <c:ptCount val="4"/>
                <c:pt idx="0">
                  <c:v>25013</c:v>
                </c:pt>
                <c:pt idx="1">
                  <c:v>29019</c:v>
                </c:pt>
                <c:pt idx="2">
                  <c:v>32220</c:v>
                </c:pt>
                <c:pt idx="3">
                  <c:v>11864.266291347056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9-443A-A8BE-AB83B8C61D9A}"/>
            </c:ext>
          </c:extLst>
        </c:ser>
        <c:ser>
          <c:idx val="3"/>
          <c:order val="3"/>
          <c:tx>
            <c:strRef>
              <c:f>Summary!$B$36</c:f>
              <c:strCache>
                <c:ptCount val="1"/>
                <c:pt idx="0">
                  <c:v>streetlights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Summary!$C$36:$F$36</c:f>
              <c:numCache>
                <c:formatCode>_(* #,##0_);_(* \(#,##0\);_(* "-"??_);_(@_)</c:formatCode>
                <c:ptCount val="4"/>
                <c:pt idx="0">
                  <c:v>267</c:v>
                </c:pt>
                <c:pt idx="1">
                  <c:v>473</c:v>
                </c:pt>
                <c:pt idx="2">
                  <c:v>422</c:v>
                </c:pt>
                <c:pt idx="3">
                  <c:v>209.50295273561886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9-443A-A8BE-AB83B8C61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0223608"/>
        <c:axId val="870220984"/>
      </c:barChart>
      <c:catAx>
        <c:axId val="870223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220984"/>
        <c:crosses val="autoZero"/>
        <c:auto val="1"/>
        <c:lblAlgn val="ctr"/>
        <c:lblOffset val="100"/>
        <c:noMultiLvlLbl val="1"/>
      </c:catAx>
      <c:valAx>
        <c:axId val="87022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223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community </a:t>
            </a:r>
            <a:r>
              <a:rPr lang="en-US" baseline="0"/>
              <a:t>emissions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Summary!$B$5</c:f>
              <c:strCache>
                <c:ptCount val="1"/>
                <c:pt idx="0">
                  <c:v>transportation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Summary!$C$28:$F$28</c:f>
              <c:numCache>
                <c:formatCode>General</c:formatCode>
                <c:ptCount val="4"/>
                <c:pt idx="0">
                  <c:v>2000</c:v>
                </c:pt>
                <c:pt idx="1">
                  <c:v>2006</c:v>
                </c:pt>
                <c:pt idx="2">
                  <c:v>2008</c:v>
                </c:pt>
                <c:pt idx="3">
                  <c:v>2018</c:v>
                </c:pt>
              </c:numCache>
            </c:numRef>
          </c:cat>
          <c:val>
            <c:numRef>
              <c:f>Summary!$C$5:$F$5</c:f>
              <c:numCache>
                <c:formatCode>_(* #,##0_);_(* \(#,##0\);_(* "-"??_);_(@_)</c:formatCode>
                <c:ptCount val="4"/>
                <c:pt idx="0">
                  <c:v>783196</c:v>
                </c:pt>
                <c:pt idx="1">
                  <c:v>850597</c:v>
                </c:pt>
                <c:pt idx="2">
                  <c:v>785630</c:v>
                </c:pt>
                <c:pt idx="3">
                  <c:v>730319.59856645507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A-4EE1-9D6F-9D40ED45D192}"/>
            </c:ext>
          </c:extLst>
        </c:ser>
        <c:ser>
          <c:idx val="1"/>
          <c:order val="1"/>
          <c:tx>
            <c:strRef>
              <c:f>Summary!$B$7</c:f>
              <c:strCache>
                <c:ptCount val="1"/>
                <c:pt idx="0">
                  <c:v>stationary energy (buildings)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Summary!$C$13:$F$13</c:f>
              <c:numCache>
                <c:formatCode>_(* #,##0_);_(* \(#,##0\);_(* "-"??_);_(@_)</c:formatCode>
                <c:ptCount val="4"/>
                <c:pt idx="0">
                  <c:v>607189</c:v>
                </c:pt>
                <c:pt idx="1">
                  <c:v>705448</c:v>
                </c:pt>
                <c:pt idx="2">
                  <c:v>745218</c:v>
                </c:pt>
                <c:pt idx="3">
                  <c:v>558097.99167558004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A-4EE1-9D6F-9D40ED45D192}"/>
            </c:ext>
          </c:extLst>
        </c:ser>
        <c:ser>
          <c:idx val="2"/>
          <c:order val="2"/>
          <c:tx>
            <c:strRef>
              <c:f>Summary!$B$15</c:f>
              <c:strCache>
                <c:ptCount val="1"/>
                <c:pt idx="0">
                  <c:v>waste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Summary!$C$15:$F$15</c:f>
              <c:numCache>
                <c:formatCode>_(* #,##0_);_(* \(#,##0\);_(* "-"??_);_(@_)</c:formatCode>
                <c:ptCount val="4"/>
                <c:pt idx="0">
                  <c:v>2205</c:v>
                </c:pt>
                <c:pt idx="1">
                  <c:v>6826</c:v>
                </c:pt>
                <c:pt idx="2">
                  <c:v>6978</c:v>
                </c:pt>
                <c:pt idx="3">
                  <c:v>59006.376661299291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A-4EE1-9D6F-9D40ED45D192}"/>
            </c:ext>
          </c:extLst>
        </c:ser>
        <c:ser>
          <c:idx val="3"/>
          <c:order val="3"/>
          <c:tx>
            <c:strRef>
              <c:f>Summary!$B$17</c:f>
              <c:strCache>
                <c:ptCount val="1"/>
                <c:pt idx="0">
                  <c:v>agriculture and landscape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Summary!$C$17:$F$17</c:f>
              <c:numCache>
                <c:formatCode>_(* #,##0_);_(* \(#,##0\);_(* "-"??_);_(@_)</c:formatCode>
                <c:ptCount val="4"/>
                <c:pt idx="0">
                  <c:v>57042</c:v>
                </c:pt>
                <c:pt idx="1">
                  <c:v>38790</c:v>
                </c:pt>
                <c:pt idx="2">
                  <c:v>32340</c:v>
                </c:pt>
                <c:pt idx="3">
                  <c:v>71943.232467113339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A-4EE1-9D6F-9D40ED45D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0223608"/>
        <c:axId val="870220984"/>
      </c:barChart>
      <c:catAx>
        <c:axId val="870223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220984"/>
        <c:crosses val="autoZero"/>
        <c:auto val="1"/>
        <c:lblAlgn val="ctr"/>
        <c:lblOffset val="100"/>
        <c:noMultiLvlLbl val="1"/>
      </c:catAx>
      <c:valAx>
        <c:axId val="87022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223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subregion</a:t>
            </a:r>
            <a:r>
              <a:rPr lang="en-US" baseline="0"/>
              <a:t> </a:t>
            </a:r>
            <a:r>
              <a:rPr lang="en-US"/>
              <a:t>eGRID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CO2e (lb/MWh)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1"/>
          <c:tx>
            <c:strRef>
              <c:f>'eGRID History'!$B$5</c:f>
              <c:strCache>
                <c:ptCount val="1"/>
                <c:pt idx="0">
                  <c:v>CO2e (lb/MWh)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'eGRID History'!$A$6:$A$11</c:f>
              <c:numCache>
                <c:formatCode>General</c:formatCode>
                <c:ptCount val="6"/>
                <c:pt idx="0">
                  <c:v>2007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  <c:pt idx="5">
                  <c:v>2018</c:v>
                </c:pt>
              </c:numCache>
            </c:numRef>
          </c:xVal>
          <c:yVal>
            <c:numRef>
              <c:f>'eGRID History'!$B$6:$B$11</c:f>
              <c:numCache>
                <c:formatCode>0.00</c:formatCode>
                <c:ptCount val="6"/>
                <c:pt idx="0">
                  <c:v>1124.79</c:v>
                </c:pt>
                <c:pt idx="1">
                  <c:v>1079.57</c:v>
                </c:pt>
                <c:pt idx="2">
                  <c:v>937.9</c:v>
                </c:pt>
                <c:pt idx="3">
                  <c:v>862.8</c:v>
                </c:pt>
                <c:pt idx="4">
                  <c:v>810.1</c:v>
                </c:pt>
                <c:pt idx="5">
                  <c:v>747.51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18-4CA6-9A7E-D79438658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325136"/>
        <c:axId val="60232677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'eGRID History'!$B$5</c15:sqref>
                        </c15:formulaRef>
                      </c:ext>
                    </c:extLst>
                    <c:strCache>
                      <c:ptCount val="1"/>
                      <c:pt idx="0">
                        <c:v>CO2e (lb/MWh)</c:v>
                      </c:pt>
                    </c:strCache>
                  </c:strRef>
                </c:tx>
                <c:xVal>
                  <c:numRef>
                    <c:extLst>
                      <c:ext uri="{02D57815-91ED-43cb-92C2-25804820EDAC}">
                        <c15:formulaRef>
                          <c15:sqref>'eGRID History'!$A$6:$A$11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2007</c:v>
                      </c:pt>
                      <c:pt idx="1">
                        <c:v>2010</c:v>
                      </c:pt>
                      <c:pt idx="2">
                        <c:v>2012</c:v>
                      </c:pt>
                      <c:pt idx="3">
                        <c:v>2014</c:v>
                      </c:pt>
                      <c:pt idx="4">
                        <c:v>2016</c:v>
                      </c:pt>
                      <c:pt idx="5">
                        <c:v>2018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'eGRID History'!$B$6:$B$11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1124.79</c:v>
                      </c:pt>
                      <c:pt idx="1">
                        <c:v>1079.57</c:v>
                      </c:pt>
                      <c:pt idx="2">
                        <c:v>937.9</c:v>
                      </c:pt>
                      <c:pt idx="3">
                        <c:v>862.8</c:v>
                      </c:pt>
                      <c:pt idx="4">
                        <c:v>810.1</c:v>
                      </c:pt>
                      <c:pt idx="5">
                        <c:v>747.51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FA18-4CA6-9A7E-D79438658928}"/>
                  </c:ext>
                </c:extLst>
              </c15:ser>
            </c15:filteredScatterSeries>
          </c:ext>
        </c:extLst>
      </c:scatterChart>
      <c:valAx>
        <c:axId val="602325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326776"/>
        <c:crosses val="autoZero"/>
        <c:crossBetween val="midCat"/>
      </c:valAx>
      <c:valAx>
        <c:axId val="60232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32513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28</xdr:row>
      <xdr:rowOff>0</xdr:rowOff>
    </xdr:from>
    <xdr:to>
      <xdr:col>15</xdr:col>
      <xdr:colOff>19050</xdr:colOff>
      <xdr:row>46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7588D6-030B-464A-9D8C-9CBA8523DE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314325</xdr:colOff>
      <xdr:row>4</xdr:row>
      <xdr:rowOff>0</xdr:rowOff>
    </xdr:from>
    <xdr:to>
      <xdr:col>15</xdr:col>
      <xdr:colOff>9525</xdr:colOff>
      <xdr:row>22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49C1727-4D8C-4D20-A297-5B8780C6A4C7}"/>
            </a:ext>
            <a:ext uri="{147F2762-F138-4A5C-976F-8EAC2B608ADB}">
              <a16:predDERef xmlns:a16="http://schemas.microsoft.com/office/drawing/2014/main" pred="{597588D6-030B-464A-9D8C-9CBA8523D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4</xdr:row>
      <xdr:rowOff>147637</xdr:rowOff>
    </xdr:from>
    <xdr:to>
      <xdr:col>12</xdr:col>
      <xdr:colOff>523875</xdr:colOff>
      <xdr:row>17</xdr:row>
      <xdr:rowOff>223837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5C39F710-6154-4FD3-9B8D-36AD419D81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ric Purdy" id="{C79D70D3-9B11-4182-91C1-A618D11F3035}" userId="epurdy@albemarle.org" providerId="PeoplePicker"/>
  <person displayName="Eric Purdy" id="{0A42B57A-F379-4FF0-AE9F-161691C8C068}" userId="S::epurdy@albemarle.org::e5977f4a-2ec3-478e-aa8f-01e3414a6f70" providerId="AD"/>
  <person displayName="Greg Harper" id="{F41A64D3-76B2-425C-97C3-EC818B91706B}" userId="S::gharper@Albemarle.org::a83d1638-efdd-4e88-8116-d1a759e85d1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3" dT="2021-01-22T16:14:44.67" personId="{0A42B57A-F379-4FF0-AE9F-161691C8C068}" id="{EDEFBA2D-A92A-4DF7-A821-3F585A0DDC35}">
    <text>Updated the mileage total. Uploaded and linked to the source doc</text>
  </threadedComment>
  <threadedComment ref="C23" dT="2021-02-01T18:56:45.94" personId="{F41A64D3-76B2-425C-97C3-EC818B91706B}" id="{8AD6FF97-0FE6-4D62-ABC6-3AFAC5D79A7F}" parentId="{EDEFBA2D-A92A-4DF7-A821-3F585A0DDC35}">
    <text>@Eric Purdy, is the update based on a reinterpretation of the cutoff distance?</text>
    <mentions>
      <mention mentionpersonId="{C79D70D3-9B11-4182-91C1-A618D11F3035}" mentionId="{A13126FC-506A-4721-9ECC-21DB7FBD60CD}" startIndex="0" length="11"/>
    </mentions>
  </threadedComment>
  <threadedComment ref="C23" dT="2021-02-01T18:58:29.09" personId="{0A42B57A-F379-4FF0-AE9F-161691C8C068}" id="{BD8A2A59-9C07-4CCC-810D-97C04AD07E2F}" parentId="{EDEFBA2D-A92A-4DF7-A821-3F585A0DDC35}">
    <text>update was based on me being an idiot and only calculating one way instead of round trip</text>
  </threadedComment>
  <threadedComment ref="C23" dT="2021-02-01T19:03:30.96" personId="{0A42B57A-F379-4FF0-AE9F-161691C8C068}" id="{A06CE369-49B2-468F-8B54-49440EEDD618}" parentId="{EDEFBA2D-A92A-4DF7-A821-3F585A0DDC35}">
    <text xml:space="preserve">That said... the cutoff distance is arbitrary and is definitely the weak point of this analysis.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lbemarle.org/home/showdocument?id=3178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census.gov/cedsci/table?q=S25&amp;g=0500000US51003&amp;d=ACS%201-Year%20Estimates%20Subject%20Tables&amp;tid=ACSST1Y2018.S2504&amp;hidePreview=true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pa.gov/egrid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ia.gov/opendata/qb.php?category=1373322&amp;sdid=AEO.2015.REF2015.EFI_NA_FGHT_RADS_MGS_NA_NA_MPG.A" TargetMode="External"/><Relationship Id="rId13" Type="http://schemas.openxmlformats.org/officeDocument/2006/relationships/hyperlink" Target="https://www.epa.gov/sites/production/files/2020-04/documents/ghg-emission-factors-hub.pdf" TargetMode="External"/><Relationship Id="rId18" Type="http://schemas.openxmlformats.org/officeDocument/2006/relationships/hyperlink" Target="https://www.epa.gov/sites/production/files/2020-04/documents/ghg-emission-factors-hub.pdf" TargetMode="External"/><Relationship Id="rId3" Type="http://schemas.openxmlformats.org/officeDocument/2006/relationships/hyperlink" Target="https://www.epa.gov/sites/production/files/2020-04/documents/ghg-emission-factors-hub.pdf" TargetMode="External"/><Relationship Id="rId21" Type="http://schemas.openxmlformats.org/officeDocument/2006/relationships/hyperlink" Target="https://www.epa.gov/sites/production/files/2020-04/documents/ghg-emission-factors-hub.pdf" TargetMode="External"/><Relationship Id="rId7" Type="http://schemas.openxmlformats.org/officeDocument/2006/relationships/hyperlink" Target="https://www.eia.gov/opendata/qb.php?category=711246&amp;sdid=TOTAL.LTFRRUS.A" TargetMode="External"/><Relationship Id="rId12" Type="http://schemas.openxmlformats.org/officeDocument/2006/relationships/hyperlink" Target="https://www.epa.gov/egrid/data-explorer" TargetMode="External"/><Relationship Id="rId17" Type="http://schemas.openxmlformats.org/officeDocument/2006/relationships/hyperlink" Target="https://www.epa.gov/sites/production/files/2020-04/documents/ghg-emission-factors-hub.pdf" TargetMode="External"/><Relationship Id="rId2" Type="http://schemas.openxmlformats.org/officeDocument/2006/relationships/hyperlink" Target="https://www.eia.gov/dnav/ng/ng_cons_heat_a_EPG0_VGTH_btucf_a.htm" TargetMode="External"/><Relationship Id="rId16" Type="http://schemas.openxmlformats.org/officeDocument/2006/relationships/hyperlink" Target="https://www.epa.gov/sites/production/files/2020-04/documents/ghg-emission-factors-hub.pdf" TargetMode="External"/><Relationship Id="rId20" Type="http://schemas.openxmlformats.org/officeDocument/2006/relationships/hyperlink" Target="https://www.epa.gov/sites/production/files/2020-04/documents/ghg-emission-factors-hub.pdf" TargetMode="External"/><Relationship Id="rId1" Type="http://schemas.openxmlformats.org/officeDocument/2006/relationships/hyperlink" Target="https://www.eia.gov/energyexplained/units-and-calculators/energy-conversion-calculators.php" TargetMode="External"/><Relationship Id="rId6" Type="http://schemas.openxmlformats.org/officeDocument/2006/relationships/hyperlink" Target="https://www.eia.gov/opendata/qb.php?category=711246&amp;sdid=TOTAL.LTFRRUS.A" TargetMode="External"/><Relationship Id="rId11" Type="http://schemas.openxmlformats.org/officeDocument/2006/relationships/hyperlink" Target="https://www.eia.gov/energyexplained/units-and-calculators/energy-conversion-calculators.php" TargetMode="External"/><Relationship Id="rId5" Type="http://schemas.openxmlformats.org/officeDocument/2006/relationships/hyperlink" Target="https://www.eia.gov/opendata/qb.php?category=711246&amp;sdid=TOTAL.PCFRRUS.A" TargetMode="External"/><Relationship Id="rId15" Type="http://schemas.openxmlformats.org/officeDocument/2006/relationships/hyperlink" Target="https://ghgprotocol.org/sites/default/files/standards/GHGP_GPC_0.pdf" TargetMode="External"/><Relationship Id="rId23" Type="http://schemas.openxmlformats.org/officeDocument/2006/relationships/hyperlink" Target="https://www.epa.gov/sites/production/files/2020-04/documents/ghg-emission-factors-hub.pdf" TargetMode="External"/><Relationship Id="rId10" Type="http://schemas.openxmlformats.org/officeDocument/2006/relationships/hyperlink" Target="https://www.bts.gov/content/light-duty-vehicle-short-wheel-base-and-motorcycle-fuel-consumption-and-travel" TargetMode="External"/><Relationship Id="rId19" Type="http://schemas.openxmlformats.org/officeDocument/2006/relationships/hyperlink" Target="https://www.epa.gov/sites/production/files/2020-04/documents/ghg-emission-factors-hub.pdf" TargetMode="External"/><Relationship Id="rId4" Type="http://schemas.openxmlformats.org/officeDocument/2006/relationships/hyperlink" Target="https://www.eia.gov/opendata/qb.php?category=711246&amp;sdid=TOTAL.PCFRRUS.A" TargetMode="External"/><Relationship Id="rId9" Type="http://schemas.openxmlformats.org/officeDocument/2006/relationships/hyperlink" Target="https://www.eia.gov/opendata/qb.php?category=1373322&amp;sdid=AEO.2015.REF2015.EFI_NA_FGHT_RADS_DSL_NA_NA_MPG.A" TargetMode="External"/><Relationship Id="rId14" Type="http://schemas.openxmlformats.org/officeDocument/2006/relationships/hyperlink" Target="https://www.epa.gov/sites/production/files/2020-04/documents/ghg-emission-factors-hub.pdf" TargetMode="External"/><Relationship Id="rId22" Type="http://schemas.openxmlformats.org/officeDocument/2006/relationships/hyperlink" Target="https://www.epa.gov/sites/production/files/2020-04/documents/ghg-emission-factors-hub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bts.gov/content/light-duty-vehicle-short-wheel-base-and-motorcycle-fuel-consumption-and-travel" TargetMode="External"/><Relationship Id="rId7" Type="http://schemas.openxmlformats.org/officeDocument/2006/relationships/hyperlink" Target="https://afdc.energy.gov/vehicles/electric_emissions_sources.html" TargetMode="External"/><Relationship Id="rId2" Type="http://schemas.openxmlformats.org/officeDocument/2006/relationships/hyperlink" Target="https://www.eia.gov/opendata/qb.php?category=711246" TargetMode="External"/><Relationship Id="rId1" Type="http://schemas.openxmlformats.org/officeDocument/2006/relationships/hyperlink" Target="https://www.epa.gov/statelocalenergy/download-state-inventory-and-projection-tool" TargetMode="External"/><Relationship Id="rId6" Type="http://schemas.openxmlformats.org/officeDocument/2006/relationships/hyperlink" Target="https://afdc.energy.gov/data/search?q=electric+vehicle+registrations+by+state" TargetMode="External"/><Relationship Id="rId5" Type="http://schemas.openxmlformats.org/officeDocument/2006/relationships/hyperlink" Target="https://www.fhwa.dot.gov/policyinformation/statistics/2018/mv1.cfm" TargetMode="External"/><Relationship Id="rId4" Type="http://schemas.openxmlformats.org/officeDocument/2006/relationships/hyperlink" Target="http://www.virginiadot.org/info/2018_traffic_data_daily_vehicle_miles_traveled.as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ghgprotocol.org/sites/default/files/standards/GHGP_GPC_0.pdf" TargetMode="External"/><Relationship Id="rId2" Type="http://schemas.openxmlformats.org/officeDocument/2006/relationships/hyperlink" Target="https://tjpdc.org/our-work/solid-waste/" TargetMode="External"/><Relationship Id="rId1" Type="http://schemas.openxmlformats.org/officeDocument/2006/relationships/hyperlink" Target="https://www.census.gov/data/tables/time-series/demo/popest/2010s-counties-total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../../../:b:/r/sites/accpp/GHG%20Emissions/Community%20Emissions/ICLEI%20Community%20Protocol%20Version1.2/Appendix%20G%20-%20Agricultural%20Livestock%20Emission%20Activities%20and%20Sources%20-%20U.S.%20Community%20Protocol.pdf?csf=1&amp;web=1&amp;e=0GbtAj" TargetMode="External"/><Relationship Id="rId1" Type="http://schemas.openxmlformats.org/officeDocument/2006/relationships/hyperlink" Target="https://www.nass.usda.gov/Publications/AgCensus/2017/Full_Report/Volume_1,_Chapter_2_County_Level/Virginia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bemarle.org/home/showdocument?id=10555&amp;t=637659250757638944" TargetMode="External"/><Relationship Id="rId2" Type="http://schemas.openxmlformats.org/officeDocument/2006/relationships/hyperlink" Target="https://canopy.itreetools.org/" TargetMode="External"/><Relationship Id="rId1" Type="http://schemas.openxmlformats.org/officeDocument/2006/relationships/hyperlink" Target="https://d1ps9kreypzu9a.cloudfront.net/GHGInventory/HWP%20Calculator.xlsx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albemarle.org/home/showdocument?id=10557&amp;t=637659250477089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EB541-BA66-4863-8992-9240CC00B83A}">
  <dimension ref="A1:S46"/>
  <sheetViews>
    <sheetView tabSelected="1" zoomScaleNormal="100" workbookViewId="0">
      <selection activeCell="A2" sqref="A2"/>
    </sheetView>
  </sheetViews>
  <sheetFormatPr defaultRowHeight="15"/>
  <cols>
    <col min="1" max="1" width="13.5703125" customWidth="1"/>
    <col min="2" max="2" width="33.42578125" customWidth="1"/>
    <col min="3" max="6" width="16.7109375" customWidth="1"/>
    <col min="7" max="7" width="9.140625" customWidth="1"/>
    <col min="17" max="17" width="11.85546875" customWidth="1"/>
  </cols>
  <sheetData>
    <row r="1" spans="1:18" ht="18.75">
      <c r="A1" s="14" t="s">
        <v>0</v>
      </c>
      <c r="H1" s="43"/>
    </row>
    <row r="2" spans="1:18" ht="19.5">
      <c r="B2" s="14"/>
      <c r="C2" s="284" t="s">
        <v>1</v>
      </c>
      <c r="D2" s="284"/>
      <c r="E2" s="284"/>
      <c r="F2" s="284"/>
    </row>
    <row r="3" spans="1:18" ht="18.75">
      <c r="B3" s="14"/>
      <c r="C3" s="277">
        <v>2000</v>
      </c>
      <c r="D3" s="277">
        <v>2006</v>
      </c>
      <c r="E3" s="277">
        <v>2008</v>
      </c>
      <c r="F3" s="277">
        <v>2018</v>
      </c>
    </row>
    <row r="4" spans="1:18">
      <c r="B4" s="115"/>
      <c r="C4" s="116"/>
      <c r="D4" s="116"/>
      <c r="E4" s="116"/>
      <c r="F4" s="116"/>
    </row>
    <row r="5" spans="1:18" ht="15" customHeight="1">
      <c r="A5" s="283" t="s">
        <v>2</v>
      </c>
      <c r="B5" s="109" t="s">
        <v>3</v>
      </c>
      <c r="C5" s="110">
        <f>Transportation!B6</f>
        <v>783196</v>
      </c>
      <c r="D5" s="110">
        <f>Transportation!C6</f>
        <v>850597</v>
      </c>
      <c r="E5" s="110">
        <f>Transportation!D6</f>
        <v>785630</v>
      </c>
      <c r="F5" s="110">
        <f>Transportation!E6</f>
        <v>730319.59856645507</v>
      </c>
      <c r="G5" s="40"/>
      <c r="Q5" s="39"/>
      <c r="R5" s="192"/>
    </row>
    <row r="6" spans="1:18">
      <c r="A6" s="283"/>
      <c r="B6" s="48"/>
      <c r="C6" s="7"/>
      <c r="D6" s="7"/>
      <c r="E6" s="7"/>
      <c r="F6" s="7"/>
      <c r="R6" s="192"/>
    </row>
    <row r="7" spans="1:18">
      <c r="A7" s="283"/>
      <c r="B7" s="111" t="s">
        <v>4</v>
      </c>
      <c r="R7" s="192"/>
    </row>
    <row r="8" spans="1:18">
      <c r="A8" s="283"/>
      <c r="B8" s="112" t="s">
        <v>5</v>
      </c>
      <c r="C8" s="117">
        <v>405974</v>
      </c>
      <c r="D8" s="117">
        <v>428308</v>
      </c>
      <c r="E8" s="117">
        <v>461997</v>
      </c>
      <c r="F8" s="254">
        <f>'Stationary Energy'!F32</f>
        <v>279480.91166297568</v>
      </c>
      <c r="G8" s="41"/>
      <c r="Q8" s="45"/>
      <c r="R8" s="192"/>
    </row>
    <row r="9" spans="1:18">
      <c r="A9" s="283"/>
      <c r="B9" s="112" t="s">
        <v>6</v>
      </c>
      <c r="C9" s="117">
        <v>173148</v>
      </c>
      <c r="D9" s="117">
        <v>171905</v>
      </c>
      <c r="E9" s="117">
        <v>270181</v>
      </c>
      <c r="F9" s="254">
        <f>'Stationary Energy'!F33</f>
        <v>161396.73983332992</v>
      </c>
      <c r="Q9" s="39"/>
      <c r="R9" s="192"/>
    </row>
    <row r="10" spans="1:18">
      <c r="A10" s="283"/>
      <c r="B10" s="112" t="s">
        <v>7</v>
      </c>
      <c r="C10" s="117">
        <v>28067</v>
      </c>
      <c r="D10" s="117">
        <v>105235</v>
      </c>
      <c r="E10" s="117">
        <v>13040</v>
      </c>
      <c r="F10" s="254">
        <f>'Stationary Energy'!F34</f>
        <v>8376.147560130772</v>
      </c>
      <c r="Q10" s="45"/>
      <c r="R10" s="192"/>
    </row>
    <row r="11" spans="1:18">
      <c r="A11" s="283"/>
      <c r="B11" s="112" t="s">
        <v>8</v>
      </c>
      <c r="C11" s="117"/>
      <c r="D11" s="117"/>
      <c r="E11" s="117">
        <v>90187</v>
      </c>
      <c r="F11" s="254">
        <f>'Stationary Energy'!F35</f>
        <v>109013.03333449512</v>
      </c>
      <c r="R11" s="192"/>
    </row>
    <row r="12" spans="1:18">
      <c r="A12" s="283"/>
      <c r="B12" s="112" t="s">
        <v>9</v>
      </c>
      <c r="C12" s="244" t="s">
        <v>10</v>
      </c>
      <c r="D12" s="244" t="s">
        <v>10</v>
      </c>
      <c r="E12" s="244" t="s">
        <v>10</v>
      </c>
      <c r="F12" s="255">
        <f>'Stationary Energy'!F36</f>
        <v>-168.84071535137139</v>
      </c>
      <c r="R12" s="192"/>
    </row>
    <row r="13" spans="1:18">
      <c r="A13" s="283"/>
      <c r="B13" s="245" t="s">
        <v>11</v>
      </c>
      <c r="C13" s="246">
        <f>SUM(C8:C12)</f>
        <v>607189</v>
      </c>
      <c r="D13" s="246">
        <f t="shared" ref="D13:F13" si="0">SUM(D8:D12)</f>
        <v>705448</v>
      </c>
      <c r="E13" s="246">
        <f>SUM(E8:E12)-E11</f>
        <v>745218</v>
      </c>
      <c r="F13" s="256">
        <f t="shared" si="0"/>
        <v>558097.99167558004</v>
      </c>
      <c r="G13" s="40"/>
      <c r="R13" s="192"/>
    </row>
    <row r="14" spans="1:18">
      <c r="A14" s="283"/>
      <c r="B14" s="107"/>
      <c r="C14" s="7"/>
      <c r="D14" s="7"/>
      <c r="E14" s="7"/>
      <c r="F14" s="257"/>
      <c r="R14" s="192"/>
    </row>
    <row r="15" spans="1:18">
      <c r="A15" s="283"/>
      <c r="B15" s="113" t="s">
        <v>12</v>
      </c>
      <c r="C15" s="118">
        <v>2205</v>
      </c>
      <c r="D15" s="118">
        <v>6826</v>
      </c>
      <c r="E15" s="118">
        <v>6978</v>
      </c>
      <c r="F15" s="258">
        <f>Waste!B18</f>
        <v>59006.376661299291</v>
      </c>
      <c r="G15" s="40"/>
      <c r="Q15" s="39"/>
      <c r="R15" s="192"/>
    </row>
    <row r="16" spans="1:18">
      <c r="A16" s="283"/>
      <c r="B16" s="107"/>
      <c r="C16" s="7"/>
      <c r="D16" s="7"/>
      <c r="E16" s="7"/>
      <c r="F16" s="259"/>
      <c r="R16" s="192"/>
    </row>
    <row r="17" spans="1:19">
      <c r="A17" s="283"/>
      <c r="B17" s="114" t="s">
        <v>13</v>
      </c>
      <c r="C17" s="119">
        <v>57042</v>
      </c>
      <c r="D17" s="119">
        <v>38790</v>
      </c>
      <c r="E17" s="119">
        <v>32340</v>
      </c>
      <c r="F17" s="260">
        <f>AFOLU!B13</f>
        <v>71943.232467113339</v>
      </c>
      <c r="G17" s="40"/>
      <c r="Q17" s="39"/>
      <c r="R17" s="192"/>
    </row>
    <row r="18" spans="1:19">
      <c r="A18" s="283"/>
      <c r="B18" s="228"/>
      <c r="C18" s="179"/>
      <c r="D18" s="179"/>
      <c r="E18" s="179"/>
      <c r="F18" s="229"/>
    </row>
    <row r="19" spans="1:19">
      <c r="A19" s="283"/>
      <c r="B19" s="228" t="s">
        <v>14</v>
      </c>
      <c r="C19" s="179">
        <v>53531</v>
      </c>
      <c r="D19" s="179">
        <v>86765</v>
      </c>
      <c r="E19" s="179">
        <v>74968</v>
      </c>
      <c r="F19" s="247" t="s">
        <v>10</v>
      </c>
    </row>
    <row r="20" spans="1:19">
      <c r="A20" s="283"/>
      <c r="B20" s="52"/>
      <c r="C20" s="7"/>
      <c r="D20" s="7"/>
      <c r="E20" s="7"/>
    </row>
    <row r="21" spans="1:19">
      <c r="A21" s="283"/>
      <c r="B21" s="120" t="s">
        <v>15</v>
      </c>
      <c r="C21" s="121">
        <f>SUM(C5:C17)-C13</f>
        <v>1449632</v>
      </c>
      <c r="D21" s="121">
        <f>SUM(D5:D17)-D13</f>
        <v>1601661</v>
      </c>
      <c r="E21" s="121">
        <f>SUM(E5:E17)-E13-E11</f>
        <v>1570166</v>
      </c>
      <c r="F21" s="121">
        <f>SUM(F5:F17)-F13</f>
        <v>1419367.1993704475</v>
      </c>
      <c r="G21" s="39"/>
      <c r="Q21" s="180"/>
      <c r="S21" s="163"/>
    </row>
    <row r="22" spans="1:19" s="116" customFormat="1">
      <c r="A22" s="178"/>
      <c r="B22" s="177"/>
      <c r="C22" s="179"/>
      <c r="D22" s="179"/>
      <c r="E22" s="181"/>
      <c r="F22" s="180"/>
      <c r="H22" s="180"/>
    </row>
    <row r="23" spans="1:19">
      <c r="B23" t="s">
        <v>16</v>
      </c>
      <c r="C23" s="6" t="s">
        <v>17</v>
      </c>
    </row>
    <row r="24" spans="1:19">
      <c r="B24" t="s">
        <v>18</v>
      </c>
      <c r="D24" s="6"/>
    </row>
    <row r="25" spans="1:19">
      <c r="B25" t="s">
        <v>19</v>
      </c>
      <c r="D25" s="6"/>
    </row>
    <row r="26" spans="1:19">
      <c r="A26" t="s">
        <v>20</v>
      </c>
      <c r="B26" t="s">
        <v>21</v>
      </c>
      <c r="D26" s="6"/>
    </row>
    <row r="27" spans="1:19">
      <c r="D27" s="6"/>
    </row>
    <row r="28" spans="1:19">
      <c r="C28" s="277">
        <v>2000</v>
      </c>
      <c r="D28" s="277">
        <v>2006</v>
      </c>
      <c r="E28" s="277">
        <v>2008</v>
      </c>
      <c r="F28" s="277">
        <v>2018</v>
      </c>
    </row>
    <row r="30" spans="1:19">
      <c r="A30" s="283" t="s">
        <v>22</v>
      </c>
      <c r="B30" s="183" t="s">
        <v>3</v>
      </c>
    </row>
    <row r="31" spans="1:19">
      <c r="A31" s="283"/>
      <c r="B31" s="184" t="s">
        <v>23</v>
      </c>
      <c r="C31" s="110">
        <v>8027</v>
      </c>
      <c r="D31" s="251">
        <v>35696</v>
      </c>
      <c r="E31" s="251">
        <v>9247</v>
      </c>
      <c r="F31" s="251">
        <f>'Local Government'!D18</f>
        <v>7903.2402899999997</v>
      </c>
      <c r="G31" s="40"/>
      <c r="Q31" s="39"/>
    </row>
    <row r="32" spans="1:19">
      <c r="A32" s="283"/>
      <c r="B32" s="184" t="s">
        <v>24</v>
      </c>
      <c r="C32" s="110">
        <v>20224</v>
      </c>
      <c r="D32" s="251">
        <v>21576</v>
      </c>
      <c r="E32" s="251">
        <v>26120</v>
      </c>
      <c r="F32" s="251">
        <f>'Local Government'!D23</f>
        <v>6647.6841601799997</v>
      </c>
      <c r="G32" s="40"/>
    </row>
    <row r="33" spans="1:19">
      <c r="A33" s="283"/>
      <c r="B33" s="48"/>
      <c r="C33" s="7"/>
      <c r="D33" s="7"/>
      <c r="E33" s="7"/>
      <c r="F33" s="7"/>
      <c r="G33" s="40"/>
    </row>
    <row r="34" spans="1:19">
      <c r="A34" s="283"/>
      <c r="B34" s="182" t="s">
        <v>25</v>
      </c>
      <c r="C34" s="7"/>
      <c r="D34" s="7"/>
      <c r="E34" s="7"/>
      <c r="F34" s="7"/>
      <c r="G34" s="40"/>
    </row>
    <row r="35" spans="1:19">
      <c r="A35" s="283"/>
      <c r="B35" s="185" t="s">
        <v>26</v>
      </c>
      <c r="C35" s="117">
        <v>25013</v>
      </c>
      <c r="D35" s="117">
        <v>29019</v>
      </c>
      <c r="E35" s="117">
        <v>32220</v>
      </c>
      <c r="F35" s="252">
        <f>'Local Government'!D11</f>
        <v>11864.266291347056</v>
      </c>
      <c r="G35" s="40"/>
      <c r="Q35" s="39"/>
    </row>
    <row r="36" spans="1:19">
      <c r="A36" s="283"/>
      <c r="B36" s="185" t="s">
        <v>27</v>
      </c>
      <c r="C36" s="117">
        <v>267</v>
      </c>
      <c r="D36" s="117">
        <v>473</v>
      </c>
      <c r="E36" s="117">
        <v>422</v>
      </c>
      <c r="F36" s="117">
        <f>'Local Government'!D30</f>
        <v>209.50295273561886</v>
      </c>
      <c r="G36" s="40"/>
    </row>
    <row r="37" spans="1:19">
      <c r="A37" s="283"/>
      <c r="C37" s="7"/>
      <c r="D37" s="7"/>
      <c r="E37" s="7"/>
    </row>
    <row r="38" spans="1:19">
      <c r="A38" s="283"/>
      <c r="B38" s="108" t="s">
        <v>28</v>
      </c>
      <c r="C38" s="121">
        <f>SUM(C31:C36)</f>
        <v>53531</v>
      </c>
      <c r="D38" s="121">
        <f>SUM(D31:D36)</f>
        <v>86764</v>
      </c>
      <c r="E38" s="253">
        <f>SUM(E31:E36)</f>
        <v>68009</v>
      </c>
      <c r="F38" s="122">
        <f>SUM(F31:F36)</f>
        <v>26624.693694262674</v>
      </c>
      <c r="Q38" s="39"/>
      <c r="S38" s="163"/>
    </row>
    <row r="39" spans="1:19">
      <c r="B39" t="s">
        <v>29</v>
      </c>
      <c r="C39" s="45"/>
      <c r="D39" s="45"/>
      <c r="E39" s="45"/>
      <c r="F39" s="39"/>
    </row>
    <row r="42" spans="1:19">
      <c r="C42" s="277">
        <v>2000</v>
      </c>
      <c r="D42" s="277">
        <v>2006</v>
      </c>
      <c r="E42" s="277">
        <v>2008</v>
      </c>
      <c r="F42" s="277">
        <v>2018</v>
      </c>
    </row>
    <row r="43" spans="1:19">
      <c r="C43" s="28"/>
      <c r="D43" s="28"/>
      <c r="E43" s="28"/>
      <c r="F43" s="28"/>
    </row>
    <row r="44" spans="1:19" ht="15" customHeight="1">
      <c r="A44" s="283" t="s">
        <v>30</v>
      </c>
      <c r="B44" s="114" t="s">
        <v>31</v>
      </c>
      <c r="C44" s="119"/>
      <c r="D44" s="119"/>
      <c r="E44" s="119"/>
      <c r="F44" s="119">
        <f>Forestry!C35</f>
        <v>-1114452.92</v>
      </c>
    </row>
    <row r="45" spans="1:19">
      <c r="A45" s="283"/>
      <c r="B45" s="224" t="s">
        <v>32</v>
      </c>
      <c r="C45" s="223"/>
      <c r="D45" s="223"/>
      <c r="E45" s="223"/>
      <c r="F45" s="223">
        <f>Forestry!D35</f>
        <v>168721.36799999999</v>
      </c>
    </row>
    <row r="46" spans="1:19">
      <c r="B46" s="225" t="s">
        <v>33</v>
      </c>
      <c r="C46" s="226"/>
      <c r="D46" s="226"/>
      <c r="E46" s="226"/>
      <c r="F46" s="226">
        <f>F44+F45</f>
        <v>-945731.55199999991</v>
      </c>
      <c r="H46" s="227"/>
    </row>
  </sheetData>
  <mergeCells count="4">
    <mergeCell ref="A30:A38"/>
    <mergeCell ref="C2:F2"/>
    <mergeCell ref="A5:A21"/>
    <mergeCell ref="A44:A45"/>
  </mergeCells>
  <hyperlinks>
    <hyperlink ref="C23" r:id="rId1" xr:uid="{A1BF2C05-E2D8-47A0-8767-267FE91EF5AF}"/>
  </hyperlinks>
  <pageMargins left="0.7" right="0.7" top="0.75" bottom="0.75" header="0.3" footer="0.3"/>
  <pageSetup orientation="portrait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4586A-C67F-4FB1-8FC9-B27AADE610E2}">
  <dimension ref="A1:G32"/>
  <sheetViews>
    <sheetView zoomScaleNormal="100" workbookViewId="0">
      <selection activeCell="C2" sqref="C2"/>
    </sheetView>
  </sheetViews>
  <sheetFormatPr defaultRowHeight="15"/>
  <cols>
    <col min="1" max="1" width="40.42578125" customWidth="1"/>
    <col min="2" max="3" width="26.140625" customWidth="1"/>
    <col min="4" max="4" width="27.85546875" customWidth="1"/>
    <col min="5" max="5" width="17.140625" customWidth="1"/>
    <col min="6" max="6" width="16.85546875" customWidth="1"/>
    <col min="7" max="7" width="19" customWidth="1"/>
    <col min="9" max="9" width="11" bestFit="1" customWidth="1"/>
  </cols>
  <sheetData>
    <row r="1" spans="1:7">
      <c r="A1" s="1" t="s">
        <v>426</v>
      </c>
      <c r="C1" s="124" t="s">
        <v>35</v>
      </c>
    </row>
    <row r="3" spans="1:7" ht="15.75" thickBot="1">
      <c r="A3" s="309" t="s">
        <v>427</v>
      </c>
      <c r="B3" s="311" t="s">
        <v>428</v>
      </c>
      <c r="C3" s="313" t="s">
        <v>429</v>
      </c>
      <c r="D3" s="315" t="s">
        <v>430</v>
      </c>
      <c r="E3" s="303">
        <v>2018</v>
      </c>
      <c r="F3" s="303">
        <v>2018</v>
      </c>
      <c r="G3" s="304">
        <v>2018</v>
      </c>
    </row>
    <row r="4" spans="1:7" ht="30">
      <c r="A4" s="310"/>
      <c r="B4" s="312"/>
      <c r="C4" s="314"/>
      <c r="D4" s="316"/>
      <c r="E4" s="77" t="s">
        <v>431</v>
      </c>
      <c r="F4" s="78" t="s">
        <v>432</v>
      </c>
      <c r="G4" s="193" t="s">
        <v>433</v>
      </c>
    </row>
    <row r="5" spans="1:7">
      <c r="A5" s="305" t="s">
        <v>434</v>
      </c>
      <c r="B5" s="79" t="s">
        <v>435</v>
      </c>
      <c r="C5" s="80" t="s">
        <v>436</v>
      </c>
      <c r="D5" s="81" t="s">
        <v>437</v>
      </c>
      <c r="E5" s="145">
        <v>59940880</v>
      </c>
      <c r="F5" s="100">
        <v>513384.13</v>
      </c>
      <c r="G5" s="98">
        <v>1971</v>
      </c>
    </row>
    <row r="6" spans="1:7">
      <c r="A6" s="306"/>
      <c r="B6" s="82" t="s">
        <v>438</v>
      </c>
      <c r="C6" s="83" t="s">
        <v>436</v>
      </c>
      <c r="D6" s="84" t="s">
        <v>439</v>
      </c>
      <c r="E6" s="145">
        <v>2568526</v>
      </c>
      <c r="F6" s="100">
        <v>20606.16</v>
      </c>
      <c r="G6" s="98">
        <v>60</v>
      </c>
    </row>
    <row r="7" spans="1:7" ht="30">
      <c r="A7" s="306"/>
      <c r="B7" s="85" t="s">
        <v>440</v>
      </c>
      <c r="C7" s="86"/>
      <c r="D7" s="87"/>
      <c r="E7" s="145">
        <f>E5-E6</f>
        <v>57372354</v>
      </c>
      <c r="F7" s="101">
        <f t="shared" ref="F7:G7" si="0">F5-F6</f>
        <v>492777.97000000003</v>
      </c>
      <c r="G7" s="99">
        <f t="shared" si="0"/>
        <v>1911</v>
      </c>
    </row>
    <row r="8" spans="1:7">
      <c r="A8" s="306"/>
      <c r="B8" s="88" t="s">
        <v>441</v>
      </c>
      <c r="C8" s="89" t="s">
        <v>442</v>
      </c>
      <c r="D8" s="84" t="s">
        <v>437</v>
      </c>
      <c r="E8" s="145">
        <v>362893291</v>
      </c>
      <c r="F8" s="100">
        <v>4266509.87</v>
      </c>
      <c r="G8" s="98">
        <v>86516</v>
      </c>
    </row>
    <row r="9" spans="1:7">
      <c r="A9" s="306"/>
      <c r="B9" s="88" t="s">
        <v>443</v>
      </c>
      <c r="C9" s="89" t="s">
        <v>442</v>
      </c>
      <c r="D9" s="90" t="s">
        <v>439</v>
      </c>
      <c r="E9" s="145">
        <v>55924</v>
      </c>
      <c r="F9" s="100">
        <v>607.23</v>
      </c>
      <c r="G9" s="98">
        <v>12</v>
      </c>
    </row>
    <row r="10" spans="1:7" ht="30">
      <c r="A10" s="306"/>
      <c r="B10" s="85" t="s">
        <v>444</v>
      </c>
      <c r="C10" s="86"/>
      <c r="D10" s="87"/>
      <c r="E10" s="145">
        <f>E8-E9</f>
        <v>362837367</v>
      </c>
      <c r="F10" s="101">
        <f t="shared" ref="F10" si="1">F8-F9</f>
        <v>4265902.6399999997</v>
      </c>
      <c r="G10" s="99">
        <f>G8-G9</f>
        <v>86504</v>
      </c>
    </row>
    <row r="11" spans="1:7" ht="45">
      <c r="A11" s="307"/>
      <c r="B11" s="91" t="s">
        <v>445</v>
      </c>
      <c r="C11" s="92"/>
      <c r="D11" s="93"/>
      <c r="E11" s="145">
        <f>E7+E10</f>
        <v>420209721</v>
      </c>
      <c r="F11" s="101">
        <f t="shared" ref="F11" si="2">F7+F10</f>
        <v>4758680.6099999994</v>
      </c>
      <c r="G11" s="99">
        <f>G7+G10</f>
        <v>88415</v>
      </c>
    </row>
    <row r="12" spans="1:7">
      <c r="A12" s="308" t="s">
        <v>446</v>
      </c>
      <c r="B12" s="94" t="s">
        <v>447</v>
      </c>
      <c r="C12" s="95" t="s">
        <v>448</v>
      </c>
      <c r="D12" s="96" t="s">
        <v>437</v>
      </c>
      <c r="E12" s="145">
        <v>388100134</v>
      </c>
      <c r="F12" s="100">
        <v>3181169.43</v>
      </c>
      <c r="G12" s="98">
        <v>11151</v>
      </c>
    </row>
    <row r="13" spans="1:7">
      <c r="A13" s="306"/>
      <c r="B13" s="82" t="s">
        <v>449</v>
      </c>
      <c r="C13" s="83" t="s">
        <v>450</v>
      </c>
      <c r="D13" s="84" t="s">
        <v>437</v>
      </c>
      <c r="E13" s="145">
        <v>88536417</v>
      </c>
      <c r="F13" s="100">
        <v>601093.31999999995</v>
      </c>
      <c r="G13" s="98">
        <v>316</v>
      </c>
    </row>
    <row r="14" spans="1:7" ht="45">
      <c r="A14" s="307"/>
      <c r="B14" s="91" t="s">
        <v>451</v>
      </c>
      <c r="C14" s="92"/>
      <c r="D14" s="93"/>
      <c r="E14" s="145">
        <f>SUM(E12:E13)</f>
        <v>476636551</v>
      </c>
      <c r="F14" s="101">
        <f t="shared" ref="F14:G14" si="3">SUM(F12:F13)</f>
        <v>3782262.75</v>
      </c>
      <c r="G14" s="99">
        <f t="shared" si="3"/>
        <v>11467</v>
      </c>
    </row>
    <row r="15" spans="1:7">
      <c r="A15" s="308" t="s">
        <v>452</v>
      </c>
      <c r="B15" s="94" t="s">
        <v>452</v>
      </c>
      <c r="C15" s="95" t="s">
        <v>453</v>
      </c>
      <c r="D15" s="96" t="s">
        <v>437</v>
      </c>
      <c r="E15" s="145">
        <v>66796786</v>
      </c>
      <c r="F15" s="100">
        <v>406596.67</v>
      </c>
      <c r="G15" s="98">
        <v>109</v>
      </c>
    </row>
    <row r="16" spans="1:7" ht="45">
      <c r="A16" s="307"/>
      <c r="B16" s="91" t="s">
        <v>454</v>
      </c>
      <c r="C16" s="92"/>
      <c r="D16" s="93"/>
      <c r="E16" s="145">
        <f>SUM(E15)</f>
        <v>66796786</v>
      </c>
      <c r="F16" s="101">
        <f t="shared" ref="F16:G16" si="4">SUM(F15)</f>
        <v>406596.67</v>
      </c>
      <c r="G16" s="99">
        <f t="shared" si="4"/>
        <v>109</v>
      </c>
    </row>
    <row r="17" spans="1:7">
      <c r="A17" s="308" t="s">
        <v>455</v>
      </c>
      <c r="B17" s="94" t="s">
        <v>455</v>
      </c>
      <c r="C17" s="95" t="s">
        <v>456</v>
      </c>
      <c r="D17" s="96" t="s">
        <v>437</v>
      </c>
      <c r="E17" s="145">
        <v>955416594</v>
      </c>
      <c r="F17" s="100">
        <v>4537274.53</v>
      </c>
      <c r="G17" s="98">
        <v>952</v>
      </c>
    </row>
    <row r="18" spans="1:7">
      <c r="A18" s="307"/>
      <c r="B18" s="91" t="s">
        <v>457</v>
      </c>
      <c r="C18" s="92"/>
      <c r="D18" s="93"/>
      <c r="E18" s="145">
        <f>SUM(E17)</f>
        <v>955416594</v>
      </c>
      <c r="F18" s="101">
        <f t="shared" ref="F18:G18" si="5">SUM(F17)</f>
        <v>4537274.53</v>
      </c>
      <c r="G18" s="99">
        <f t="shared" si="5"/>
        <v>952</v>
      </c>
    </row>
    <row r="20" spans="1:7">
      <c r="A20" s="1" t="s">
        <v>106</v>
      </c>
      <c r="B20" s="274"/>
      <c r="C20" s="274"/>
      <c r="D20" s="274"/>
    </row>
    <row r="21" spans="1:7">
      <c r="A21" s="17" t="s">
        <v>458</v>
      </c>
      <c r="B21" s="277" t="s">
        <v>459</v>
      </c>
      <c r="C21" s="106"/>
      <c r="D21" s="274"/>
    </row>
    <row r="22" spans="1:7">
      <c r="A22" s="31" t="s">
        <v>460</v>
      </c>
      <c r="B22" s="272">
        <f>E5+E8</f>
        <v>422834171</v>
      </c>
      <c r="C22" s="144"/>
      <c r="D22" s="230"/>
      <c r="E22" s="45"/>
    </row>
    <row r="23" spans="1:7">
      <c r="A23" s="31" t="s">
        <v>461</v>
      </c>
      <c r="B23" s="97">
        <f>E14</f>
        <v>476636551</v>
      </c>
      <c r="C23" s="144"/>
      <c r="D23" s="97"/>
    </row>
    <row r="24" spans="1:7">
      <c r="A24" s="31" t="s">
        <v>452</v>
      </c>
      <c r="B24" s="97">
        <f>E16</f>
        <v>66796786</v>
      </c>
      <c r="C24" s="144"/>
      <c r="D24" s="97"/>
    </row>
    <row r="25" spans="1:7">
      <c r="A25" s="35" t="s">
        <v>455</v>
      </c>
      <c r="B25" s="123">
        <f>E18</f>
        <v>955416594</v>
      </c>
      <c r="C25" s="144"/>
      <c r="D25" s="230"/>
    </row>
    <row r="26" spans="1:7">
      <c r="A26" s="1" t="s">
        <v>133</v>
      </c>
      <c r="B26" s="97">
        <f>SUM(B22:B25)</f>
        <v>1921684102</v>
      </c>
      <c r="C26" s="231"/>
      <c r="D26" s="10"/>
    </row>
    <row r="28" spans="1:7">
      <c r="A28" s="1" t="s">
        <v>462</v>
      </c>
    </row>
    <row r="29" spans="1:7">
      <c r="A29" s="48" t="s">
        <v>463</v>
      </c>
      <c r="B29" s="39">
        <f>E10</f>
        <v>362837367</v>
      </c>
    </row>
    <row r="30" spans="1:7">
      <c r="A30" s="48" t="s">
        <v>163</v>
      </c>
      <c r="B30" s="39">
        <f>G10/12</f>
        <v>7208.666666666667</v>
      </c>
    </row>
    <row r="31" spans="1:7">
      <c r="A31" s="48" t="s">
        <v>464</v>
      </c>
      <c r="B31" s="7">
        <f>B29/B30</f>
        <v>50333.492139091832</v>
      </c>
    </row>
    <row r="32" spans="1:7">
      <c r="A32" s="156" t="s">
        <v>465</v>
      </c>
      <c r="B32" s="155">
        <f>B31*'Emission and Conversion Factors'!$D$51/1000000</f>
        <v>52.950833730324604</v>
      </c>
    </row>
  </sheetData>
  <mergeCells count="9">
    <mergeCell ref="E3:G3"/>
    <mergeCell ref="A5:A11"/>
    <mergeCell ref="A12:A14"/>
    <mergeCell ref="A15:A16"/>
    <mergeCell ref="A17:A18"/>
    <mergeCell ref="A3:A4"/>
    <mergeCell ref="B3:B4"/>
    <mergeCell ref="C3:C4"/>
    <mergeCell ref="D3:D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A3E16-F125-47E4-BCDA-E0E7D3B279A6}">
  <dimension ref="A1:E16"/>
  <sheetViews>
    <sheetView workbookViewId="0">
      <selection activeCell="E7" sqref="E7"/>
    </sheetView>
  </sheetViews>
  <sheetFormatPr defaultRowHeight="15"/>
  <cols>
    <col min="1" max="1" width="52.85546875" bestFit="1" customWidth="1"/>
    <col min="2" max="2" width="12.7109375" customWidth="1"/>
    <col min="3" max="3" width="12.5703125" customWidth="1"/>
  </cols>
  <sheetData>
    <row r="1" spans="1:5">
      <c r="A1" s="27" t="s">
        <v>466</v>
      </c>
      <c r="B1" s="124" t="s">
        <v>35</v>
      </c>
    </row>
    <row r="2" spans="1:5">
      <c r="B2" s="149"/>
      <c r="C2" s="149"/>
      <c r="D2" t="s">
        <v>111</v>
      </c>
      <c r="E2" s="154" t="s">
        <v>467</v>
      </c>
    </row>
    <row r="3" spans="1:5">
      <c r="A3" s="27"/>
      <c r="B3" s="149"/>
      <c r="C3" s="149"/>
    </row>
    <row r="4" spans="1:5">
      <c r="A4" s="16" t="s">
        <v>468</v>
      </c>
      <c r="B4" s="146">
        <v>46081</v>
      </c>
      <c r="C4" s="151"/>
    </row>
    <row r="5" spans="1:5">
      <c r="A5" s="18" t="s">
        <v>469</v>
      </c>
      <c r="B5" s="146">
        <v>41956</v>
      </c>
      <c r="C5" s="151"/>
    </row>
    <row r="6" spans="1:5">
      <c r="B6" s="150"/>
      <c r="C6" s="151"/>
    </row>
    <row r="7" spans="1:5">
      <c r="A7" s="11" t="s">
        <v>470</v>
      </c>
      <c r="B7" s="15" t="s">
        <v>471</v>
      </c>
      <c r="C7" s="152" t="s">
        <v>472</v>
      </c>
    </row>
    <row r="8" spans="1:5">
      <c r="A8" s="18" t="s">
        <v>473</v>
      </c>
      <c r="B8" s="148">
        <v>6758</v>
      </c>
      <c r="C8" s="147">
        <f>B8/$B$5</f>
        <v>0.16107350557727143</v>
      </c>
    </row>
    <row r="9" spans="1:5">
      <c r="A9" s="18" t="s">
        <v>474</v>
      </c>
      <c r="B9" s="146">
        <v>3617</v>
      </c>
      <c r="C9" s="147">
        <f t="shared" ref="C9:C16" si="0">B9/$B$5</f>
        <v>8.6209362188959859E-2</v>
      </c>
    </row>
    <row r="10" spans="1:5">
      <c r="A10" s="18" t="s">
        <v>336</v>
      </c>
      <c r="B10" s="146">
        <v>27991</v>
      </c>
      <c r="C10" s="147">
        <f t="shared" si="0"/>
        <v>0.667151301363333</v>
      </c>
    </row>
    <row r="11" spans="1:5">
      <c r="A11" s="18" t="s">
        <v>475</v>
      </c>
      <c r="B11" s="146">
        <v>2316</v>
      </c>
      <c r="C11" s="147">
        <f t="shared" si="0"/>
        <v>5.5200686433406428E-2</v>
      </c>
    </row>
    <row r="12" spans="1:5">
      <c r="A12" s="18" t="s">
        <v>476</v>
      </c>
      <c r="B12" s="146">
        <v>0</v>
      </c>
      <c r="C12" s="147">
        <f t="shared" si="0"/>
        <v>0</v>
      </c>
    </row>
    <row r="13" spans="1:5">
      <c r="A13" s="18" t="s">
        <v>477</v>
      </c>
      <c r="B13" s="146">
        <v>798</v>
      </c>
      <c r="C13" s="147">
        <f t="shared" si="0"/>
        <v>1.9019925636380972E-2</v>
      </c>
    </row>
    <row r="14" spans="1:5">
      <c r="A14" s="18" t="s">
        <v>478</v>
      </c>
      <c r="B14" s="146">
        <v>169</v>
      </c>
      <c r="C14" s="147">
        <f t="shared" si="0"/>
        <v>4.0280293640957195E-3</v>
      </c>
    </row>
    <row r="15" spans="1:5">
      <c r="A15" s="18" t="s">
        <v>479</v>
      </c>
      <c r="B15" s="146">
        <v>119</v>
      </c>
      <c r="C15" s="147">
        <f t="shared" si="0"/>
        <v>2.8363047001620746E-3</v>
      </c>
    </row>
    <row r="16" spans="1:5">
      <c r="A16" s="18" t="s">
        <v>480</v>
      </c>
      <c r="B16" s="146">
        <v>188</v>
      </c>
      <c r="C16" s="147">
        <f t="shared" si="0"/>
        <v>4.4808847363905042E-3</v>
      </c>
    </row>
  </sheetData>
  <hyperlinks>
    <hyperlink ref="E2" r:id="rId1" xr:uid="{0D95A3CB-0463-4778-A289-3F3B9B3B8B09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317A-E406-4B35-A33B-26E19DB26F61}">
  <dimension ref="A1:D27"/>
  <sheetViews>
    <sheetView workbookViewId="0">
      <selection activeCell="D21" sqref="D21"/>
    </sheetView>
  </sheetViews>
  <sheetFormatPr defaultRowHeight="15"/>
  <cols>
    <col min="1" max="1" width="16.42578125" customWidth="1"/>
    <col min="2" max="3" width="14" customWidth="1"/>
    <col min="4" max="4" width="13.28515625" customWidth="1"/>
  </cols>
  <sheetData>
    <row r="1" spans="1:4" ht="18.75">
      <c r="A1" s="188" t="s">
        <v>481</v>
      </c>
    </row>
    <row r="2" spans="1:4">
      <c r="A2" s="235" t="s">
        <v>482</v>
      </c>
      <c r="B2" s="186"/>
      <c r="C2" s="186"/>
    </row>
    <row r="3" spans="1:4">
      <c r="A3" s="6" t="s">
        <v>483</v>
      </c>
      <c r="B3" s="186"/>
      <c r="C3" s="186"/>
    </row>
    <row r="4" spans="1:4">
      <c r="A4" s="186"/>
      <c r="B4" s="186"/>
      <c r="C4" s="186"/>
      <c r="D4" s="186"/>
    </row>
    <row r="5" spans="1:4" ht="30">
      <c r="A5" s="236" t="s">
        <v>484</v>
      </c>
      <c r="B5" s="187" t="s">
        <v>485</v>
      </c>
      <c r="C5" s="187" t="s">
        <v>486</v>
      </c>
      <c r="D5" s="190" t="s">
        <v>487</v>
      </c>
    </row>
    <row r="6" spans="1:4">
      <c r="A6" s="186">
        <v>2007</v>
      </c>
      <c r="B6" s="189">
        <v>1124.79</v>
      </c>
      <c r="C6" s="189">
        <f>B6/'Emission and Conversion Factors'!$D$55</f>
        <v>510.19676860411323</v>
      </c>
      <c r="D6" s="191">
        <f>($B$6-B6)/$B$6</f>
        <v>0</v>
      </c>
    </row>
    <row r="7" spans="1:4">
      <c r="A7" s="186">
        <v>2010</v>
      </c>
      <c r="B7" s="189">
        <v>1079.57</v>
      </c>
      <c r="C7" s="189">
        <f>B7/'Emission and Conversion Factors'!$D$55</f>
        <v>489.68529723943357</v>
      </c>
      <c r="D7" s="191">
        <f>($B$6-B7)/$B$6</f>
        <v>4.0203060126779246E-2</v>
      </c>
    </row>
    <row r="8" spans="1:4">
      <c r="A8" s="186">
        <v>2012</v>
      </c>
      <c r="B8" s="189">
        <v>937.9</v>
      </c>
      <c r="C8" s="189">
        <f>B8/'Emission and Conversion Factors'!$D$55</f>
        <v>425.42478975968652</v>
      </c>
      <c r="D8" s="191">
        <f t="shared" ref="D8:D11" si="0">($B$6-B8)/$B$6</f>
        <v>0.16615546013033544</v>
      </c>
    </row>
    <row r="9" spans="1:4">
      <c r="A9" s="186">
        <v>2014</v>
      </c>
      <c r="B9" s="189">
        <v>862.8</v>
      </c>
      <c r="C9" s="189">
        <f>B9/'Emission and Conversion Factors'!$D$55</f>
        <v>391.35996226106994</v>
      </c>
      <c r="D9" s="191">
        <f t="shared" si="0"/>
        <v>0.23292347904942257</v>
      </c>
    </row>
    <row r="10" spans="1:4">
      <c r="A10" s="186">
        <v>2016</v>
      </c>
      <c r="B10" s="189">
        <v>810.1</v>
      </c>
      <c r="C10" s="189">
        <f>B10/'Emission and Conversion Factors'!$D$55</f>
        <v>367.45561593381177</v>
      </c>
      <c r="D10" s="191">
        <f t="shared" si="0"/>
        <v>0.27977666942273666</v>
      </c>
    </row>
    <row r="11" spans="1:4">
      <c r="A11" s="186">
        <v>2018</v>
      </c>
      <c r="B11" s="189">
        <v>747.51</v>
      </c>
      <c r="C11" s="189">
        <f>B11/'Emission and Conversion Factors'!$D$55</f>
        <v>339.06523573223507</v>
      </c>
      <c r="D11" s="191">
        <f t="shared" si="0"/>
        <v>0.33542261222094788</v>
      </c>
    </row>
    <row r="12" spans="1:4" s="233" customFormat="1">
      <c r="A12" s="197"/>
      <c r="B12" s="197"/>
      <c r="C12" s="198"/>
      <c r="D12" s="197"/>
    </row>
    <row r="13" spans="1:4">
      <c r="C13" s="189"/>
    </row>
    <row r="14" spans="1:4">
      <c r="C14" s="189"/>
    </row>
    <row r="15" spans="1:4">
      <c r="C15" s="189"/>
    </row>
    <row r="18" spans="1:4" ht="18.75">
      <c r="A18" s="234"/>
    </row>
    <row r="19" spans="1:4">
      <c r="A19" s="235"/>
    </row>
    <row r="21" spans="1:4">
      <c r="A21" s="238"/>
      <c r="B21" s="239"/>
      <c r="C21" s="240"/>
      <c r="D21" s="240"/>
    </row>
    <row r="22" spans="1:4">
      <c r="A22" s="238"/>
      <c r="B22" s="241"/>
      <c r="C22" s="242"/>
      <c r="D22" s="243"/>
    </row>
    <row r="23" spans="1:4">
      <c r="A23" s="186"/>
      <c r="B23" s="237"/>
      <c r="C23" s="189"/>
      <c r="D23" s="191"/>
    </row>
    <row r="24" spans="1:4">
      <c r="A24" s="186"/>
      <c r="B24" s="237"/>
      <c r="C24" s="189"/>
      <c r="D24" s="191"/>
    </row>
    <row r="25" spans="1:4">
      <c r="A25" s="186"/>
      <c r="B25" s="237"/>
      <c r="C25" s="189"/>
      <c r="D25" s="191"/>
    </row>
    <row r="26" spans="1:4">
      <c r="A26" s="186"/>
      <c r="B26" s="237"/>
      <c r="C26" s="189"/>
      <c r="D26" s="191"/>
    </row>
    <row r="27" spans="1:4">
      <c r="A27" s="186"/>
      <c r="B27" s="189"/>
      <c r="C27" s="189"/>
      <c r="D27" s="191"/>
    </row>
  </sheetData>
  <hyperlinks>
    <hyperlink ref="A3" r:id="rId1" xr:uid="{0E295EA9-6D56-4BE6-B989-33907954237D}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2E970-E859-4B12-9E55-50A753B12684}">
  <dimension ref="A1:J56"/>
  <sheetViews>
    <sheetView zoomScaleNormal="100" workbookViewId="0">
      <selection activeCell="F8" sqref="F8"/>
    </sheetView>
  </sheetViews>
  <sheetFormatPr defaultRowHeight="15"/>
  <cols>
    <col min="1" max="1" width="4" customWidth="1"/>
    <col min="2" max="2" width="33.5703125" customWidth="1"/>
    <col min="3" max="3" width="22.140625" bestFit="1" customWidth="1"/>
    <col min="4" max="7" width="12.7109375" customWidth="1"/>
    <col min="8" max="8" width="2.5703125" customWidth="1"/>
    <col min="9" max="9" width="51.85546875" customWidth="1"/>
    <col min="10" max="10" width="87.140625" customWidth="1"/>
  </cols>
  <sheetData>
    <row r="1" spans="1:10" ht="18.75">
      <c r="A1" s="14" t="s">
        <v>34</v>
      </c>
      <c r="D1" s="124" t="s">
        <v>35</v>
      </c>
    </row>
    <row r="2" spans="1:10" ht="18.75">
      <c r="A2" s="14"/>
    </row>
    <row r="3" spans="1:10" ht="15.75">
      <c r="A3" s="33" t="s">
        <v>36</v>
      </c>
      <c r="B3" s="34"/>
      <c r="C3" s="34"/>
      <c r="D3" s="285" t="s">
        <v>37</v>
      </c>
      <c r="E3" s="285"/>
      <c r="F3" s="285"/>
      <c r="G3" s="285"/>
      <c r="H3" s="275"/>
      <c r="I3" s="34"/>
      <c r="J3" s="34"/>
    </row>
    <row r="4" spans="1:10" ht="18">
      <c r="A4" s="17"/>
      <c r="B4" s="17" t="s">
        <v>38</v>
      </c>
      <c r="C4" s="24" t="s">
        <v>39</v>
      </c>
      <c r="D4" s="277" t="s">
        <v>40</v>
      </c>
      <c r="E4" s="277" t="s">
        <v>41</v>
      </c>
      <c r="F4" s="277" t="s">
        <v>42</v>
      </c>
      <c r="G4" s="277" t="s">
        <v>43</v>
      </c>
      <c r="H4" s="277"/>
      <c r="I4" s="17" t="s">
        <v>44</v>
      </c>
      <c r="J4" s="17" t="s">
        <v>45</v>
      </c>
    </row>
    <row r="6" spans="1:10">
      <c r="A6" s="1" t="s">
        <v>46</v>
      </c>
    </row>
    <row r="7" spans="1:10">
      <c r="A7" s="1"/>
    </row>
    <row r="8" spans="1:10">
      <c r="B8" s="2" t="s">
        <v>47</v>
      </c>
      <c r="C8" t="s">
        <v>48</v>
      </c>
      <c r="G8" s="127">
        <f>742.844/D55</f>
        <v>336.94877121680838</v>
      </c>
      <c r="I8" s="5" t="s">
        <v>49</v>
      </c>
      <c r="J8" s="4" t="s">
        <v>50</v>
      </c>
    </row>
    <row r="9" spans="1:10">
      <c r="B9" s="2"/>
      <c r="I9" s="5"/>
      <c r="J9" s="4"/>
    </row>
    <row r="10" spans="1:10">
      <c r="B10" s="2" t="s">
        <v>51</v>
      </c>
      <c r="C10" t="s">
        <v>52</v>
      </c>
      <c r="D10" s="124">
        <v>5.4440000000000002E-2</v>
      </c>
      <c r="E10" s="124">
        <f>0.00103/1000</f>
        <v>1.0300000000000001E-6</v>
      </c>
      <c r="F10" s="125">
        <f>0.0001/1000</f>
        <v>1.0000000000000001E-7</v>
      </c>
      <c r="G10" s="21">
        <f>D10+(E10*E$33)+(F10*F$33)</f>
        <v>5.4495340000000003E-2</v>
      </c>
      <c r="H10" s="21"/>
      <c r="I10" s="5" t="s">
        <v>53</v>
      </c>
      <c r="J10" s="6" t="s">
        <v>54</v>
      </c>
    </row>
    <row r="11" spans="1:10">
      <c r="B11" s="2" t="s">
        <v>55</v>
      </c>
      <c r="C11" t="s">
        <v>56</v>
      </c>
      <c r="D11" s="124">
        <v>10.210000000000001</v>
      </c>
      <c r="E11" s="124">
        <f>0.42/1000</f>
        <v>4.1999999999999996E-4</v>
      </c>
      <c r="F11" s="125">
        <f>0.08/1000</f>
        <v>8.0000000000000007E-5</v>
      </c>
      <c r="G11" s="22">
        <f>D11+E11*E$33+F11*F$33</f>
        <v>10.242960000000002</v>
      </c>
      <c r="H11" s="22"/>
      <c r="I11" s="5" t="s">
        <v>53</v>
      </c>
      <c r="J11" s="6" t="s">
        <v>54</v>
      </c>
    </row>
    <row r="12" spans="1:10">
      <c r="B12" s="2" t="s">
        <v>57</v>
      </c>
      <c r="C12" t="s">
        <v>56</v>
      </c>
      <c r="D12" s="124">
        <v>5.72</v>
      </c>
      <c r="E12" s="124">
        <f>0.27/1000</f>
        <v>2.7E-4</v>
      </c>
      <c r="F12" s="125">
        <f>0.05/1000</f>
        <v>5.0000000000000002E-5</v>
      </c>
      <c r="G12" s="22">
        <f>D12+E12*E$33+F12*F$33</f>
        <v>5.7408099999999997</v>
      </c>
      <c r="H12" s="22"/>
      <c r="I12" s="5" t="s">
        <v>53</v>
      </c>
      <c r="J12" s="6" t="s">
        <v>54</v>
      </c>
    </row>
    <row r="13" spans="1:10">
      <c r="B13" s="2" t="s">
        <v>58</v>
      </c>
      <c r="C13" t="s">
        <v>59</v>
      </c>
      <c r="D13" s="124">
        <v>1640</v>
      </c>
      <c r="E13" s="124">
        <f>126/1000</f>
        <v>0.126</v>
      </c>
      <c r="F13" s="125">
        <f>63/1000</f>
        <v>6.3E-2</v>
      </c>
      <c r="G13" s="42">
        <f>D13+E13*E$33+F13*F$33</f>
        <v>1660.223</v>
      </c>
      <c r="H13" s="22"/>
      <c r="I13" s="5" t="s">
        <v>53</v>
      </c>
      <c r="J13" s="6" t="s">
        <v>54</v>
      </c>
    </row>
    <row r="15" spans="1:10">
      <c r="A15" s="1" t="s">
        <v>60</v>
      </c>
    </row>
    <row r="17" spans="1:10">
      <c r="B17" t="s">
        <v>61</v>
      </c>
      <c r="C17" t="s">
        <v>56</v>
      </c>
      <c r="D17" s="126">
        <v>8.7799999999999994</v>
      </c>
      <c r="I17" s="5" t="s">
        <v>62</v>
      </c>
      <c r="J17" s="6" t="s">
        <v>63</v>
      </c>
    </row>
    <row r="18" spans="1:10">
      <c r="B18" t="s">
        <v>64</v>
      </c>
      <c r="C18" t="s">
        <v>56</v>
      </c>
      <c r="D18" s="126">
        <v>10.210000000000001</v>
      </c>
      <c r="I18" s="5" t="s">
        <v>62</v>
      </c>
      <c r="J18" s="6" t="s">
        <v>63</v>
      </c>
    </row>
    <row r="20" spans="1:10">
      <c r="B20" t="s">
        <v>65</v>
      </c>
      <c r="C20" t="s">
        <v>66</v>
      </c>
      <c r="D20" s="126">
        <v>0.33500000000000002</v>
      </c>
      <c r="E20" s="126">
        <f>0.009/1000</f>
        <v>8.9999999999999985E-6</v>
      </c>
      <c r="F20" s="126">
        <f>0.008/1000</f>
        <v>7.9999999999999996E-6</v>
      </c>
      <c r="G20" s="22">
        <f>D20+E20*E$33+F20*F$33</f>
        <v>0.33737200000000001</v>
      </c>
      <c r="I20" s="5" t="s">
        <v>67</v>
      </c>
      <c r="J20" s="6" t="s">
        <v>63</v>
      </c>
    </row>
    <row r="22" spans="1:10">
      <c r="B22" t="s">
        <v>68</v>
      </c>
      <c r="C22" t="s">
        <v>66</v>
      </c>
      <c r="D22" s="32"/>
      <c r="E22" s="126">
        <v>5.1999999999999993E-6</v>
      </c>
      <c r="F22" s="126">
        <v>1.6000000000000001E-6</v>
      </c>
      <c r="I22" s="5" t="s">
        <v>69</v>
      </c>
      <c r="J22" s="6" t="s">
        <v>63</v>
      </c>
    </row>
    <row r="23" spans="1:10">
      <c r="B23" t="s">
        <v>70</v>
      </c>
      <c r="C23" t="s">
        <v>66</v>
      </c>
      <c r="D23" s="32"/>
      <c r="E23" s="126">
        <v>3.0200000000000002E-5</v>
      </c>
      <c r="F23" s="126">
        <v>1.9199999999999999E-5</v>
      </c>
      <c r="I23" s="5" t="s">
        <v>71</v>
      </c>
      <c r="J23" s="6" t="s">
        <v>63</v>
      </c>
    </row>
    <row r="24" spans="1:10">
      <c r="B24" t="s">
        <v>72</v>
      </c>
      <c r="C24" t="s">
        <v>66</v>
      </c>
      <c r="E24" s="126">
        <v>8.1000000000000004E-6</v>
      </c>
      <c r="F24" s="126">
        <v>1.5E-6</v>
      </c>
      <c r="I24" s="5" t="s">
        <v>69</v>
      </c>
      <c r="J24" s="6" t="s">
        <v>63</v>
      </c>
    </row>
    <row r="25" spans="1:10">
      <c r="B25" t="s">
        <v>73</v>
      </c>
      <c r="C25" t="s">
        <v>66</v>
      </c>
      <c r="E25" s="126">
        <v>2.9E-5</v>
      </c>
      <c r="F25" s="126">
        <v>2.1399999999999998E-5</v>
      </c>
      <c r="I25" s="5" t="s">
        <v>71</v>
      </c>
      <c r="J25" s="6" t="s">
        <v>63</v>
      </c>
    </row>
    <row r="26" spans="1:10">
      <c r="B26" t="s">
        <v>74</v>
      </c>
      <c r="C26" t="s">
        <v>66</v>
      </c>
      <c r="E26" s="126">
        <v>3.26E-5</v>
      </c>
      <c r="F26" s="126">
        <v>8.2000000000000011E-6</v>
      </c>
      <c r="I26" s="5" t="s">
        <v>69</v>
      </c>
      <c r="J26" s="6" t="s">
        <v>63</v>
      </c>
    </row>
    <row r="27" spans="1:10">
      <c r="B27" t="s">
        <v>75</v>
      </c>
      <c r="C27" t="s">
        <v>66</v>
      </c>
      <c r="E27" s="126">
        <v>9.5000000000000005E-6</v>
      </c>
      <c r="F27" s="126">
        <v>4.3099999999999997E-5</v>
      </c>
      <c r="I27" s="5" t="s">
        <v>71</v>
      </c>
      <c r="J27" s="6" t="s">
        <v>63</v>
      </c>
    </row>
    <row r="28" spans="1:10">
      <c r="B28" t="s">
        <v>76</v>
      </c>
      <c r="C28" t="s">
        <v>66</v>
      </c>
      <c r="E28" s="126">
        <v>6.7199999999999994E-5</v>
      </c>
      <c r="F28" s="126">
        <v>6.9E-6</v>
      </c>
      <c r="I28" s="5" t="s">
        <v>69</v>
      </c>
      <c r="J28" s="6" t="s">
        <v>63</v>
      </c>
    </row>
    <row r="29" spans="1:10">
      <c r="B29" s="25"/>
    </row>
    <row r="30" spans="1:10" ht="15.75">
      <c r="A30" s="33" t="s">
        <v>77</v>
      </c>
      <c r="B30" s="34"/>
      <c r="C30" s="34"/>
      <c r="D30" s="34"/>
      <c r="E30" s="34"/>
      <c r="F30" s="34"/>
      <c r="G30" s="34"/>
      <c r="H30" s="34"/>
      <c r="I30" s="34"/>
      <c r="J30" s="34"/>
    </row>
    <row r="31" spans="1:10">
      <c r="A31" s="1"/>
    </row>
    <row r="32" spans="1:10" ht="18">
      <c r="A32" s="1"/>
      <c r="E32" s="277" t="s">
        <v>41</v>
      </c>
      <c r="F32" s="277" t="s">
        <v>42</v>
      </c>
    </row>
    <row r="33" spans="1:10">
      <c r="A33" s="1"/>
      <c r="B33" s="30" t="s">
        <v>78</v>
      </c>
      <c r="C33" s="31"/>
      <c r="D33" s="31"/>
      <c r="E33" s="124">
        <v>28</v>
      </c>
      <c r="F33" s="125">
        <v>265</v>
      </c>
      <c r="I33" t="s">
        <v>79</v>
      </c>
      <c r="J33" s="6" t="s">
        <v>80</v>
      </c>
    </row>
    <row r="34" spans="1:10">
      <c r="A34" s="1"/>
    </row>
    <row r="35" spans="1:10">
      <c r="A35" s="1"/>
      <c r="B35" t="s">
        <v>81</v>
      </c>
      <c r="D35" s="128">
        <v>3897840</v>
      </c>
      <c r="I35" t="s">
        <v>82</v>
      </c>
      <c r="J35" s="38"/>
    </row>
    <row r="36" spans="1:10">
      <c r="A36" s="1"/>
    </row>
    <row r="37" spans="1:10">
      <c r="B37" s="1" t="s">
        <v>83</v>
      </c>
      <c r="D37" s="29"/>
      <c r="E37" s="29"/>
      <c r="F37" s="29"/>
      <c r="G37" s="29"/>
    </row>
    <row r="38" spans="1:10">
      <c r="B38" s="35" t="s">
        <v>84</v>
      </c>
      <c r="C38" s="36" t="s">
        <v>85</v>
      </c>
      <c r="E38" s="28"/>
      <c r="F38" s="28"/>
      <c r="G38" s="28"/>
      <c r="I38" s="2"/>
      <c r="J38" s="6"/>
    </row>
    <row r="39" spans="1:10">
      <c r="B39" t="s">
        <v>68</v>
      </c>
      <c r="C39" s="126">
        <v>24.4</v>
      </c>
      <c r="E39" s="28"/>
      <c r="G39" s="28"/>
      <c r="I39" t="s">
        <v>86</v>
      </c>
      <c r="J39" s="6" t="s">
        <v>87</v>
      </c>
    </row>
    <row r="40" spans="1:10">
      <c r="B40" t="s">
        <v>70</v>
      </c>
      <c r="C40" s="126">
        <v>24.4</v>
      </c>
      <c r="E40" s="28"/>
      <c r="G40" s="28"/>
      <c r="I40" t="s">
        <v>86</v>
      </c>
      <c r="J40" s="6" t="s">
        <v>87</v>
      </c>
    </row>
    <row r="41" spans="1:10">
      <c r="B41" t="s">
        <v>72</v>
      </c>
      <c r="C41" s="126">
        <v>17.899999999999999</v>
      </c>
      <c r="E41" s="28"/>
      <c r="G41" s="28"/>
      <c r="I41" t="s">
        <v>86</v>
      </c>
      <c r="J41" s="6" t="s">
        <v>88</v>
      </c>
    </row>
    <row r="42" spans="1:10">
      <c r="B42" t="s">
        <v>73</v>
      </c>
      <c r="C42" s="126">
        <v>17.899999999999999</v>
      </c>
      <c r="E42" s="28"/>
      <c r="G42" s="28"/>
      <c r="I42" t="s">
        <v>86</v>
      </c>
      <c r="J42" s="6" t="s">
        <v>88</v>
      </c>
    </row>
    <row r="43" spans="1:10">
      <c r="B43" t="s">
        <v>74</v>
      </c>
      <c r="C43" s="129">
        <v>5.365653</v>
      </c>
      <c r="E43" s="28"/>
      <c r="G43" s="28"/>
      <c r="I43" t="s">
        <v>86</v>
      </c>
      <c r="J43" s="6" t="s">
        <v>89</v>
      </c>
    </row>
    <row r="44" spans="1:10">
      <c r="B44" t="s">
        <v>75</v>
      </c>
      <c r="C44" s="129">
        <v>6.3077079999999999</v>
      </c>
      <c r="E44" s="28"/>
      <c r="G44" s="28"/>
      <c r="I44" t="s">
        <v>86</v>
      </c>
      <c r="J44" s="6" t="s">
        <v>90</v>
      </c>
    </row>
    <row r="45" spans="1:10">
      <c r="B45" t="s">
        <v>76</v>
      </c>
      <c r="C45" s="126">
        <v>44</v>
      </c>
      <c r="E45" s="28"/>
      <c r="G45" s="28"/>
      <c r="I45" t="s">
        <v>86</v>
      </c>
      <c r="J45" s="6" t="s">
        <v>91</v>
      </c>
    </row>
    <row r="46" spans="1:10">
      <c r="B46" s="26"/>
      <c r="C46" s="27"/>
      <c r="D46" s="28"/>
      <c r="E46" s="28"/>
      <c r="F46" s="28"/>
      <c r="G46" s="28"/>
    </row>
    <row r="47" spans="1:10">
      <c r="A47" s="26"/>
      <c r="B47" s="27"/>
      <c r="C47" s="28"/>
      <c r="D47" s="28"/>
      <c r="E47" s="28"/>
      <c r="F47" s="28"/>
    </row>
    <row r="48" spans="1:10" ht="15.75">
      <c r="A48" s="33" t="s">
        <v>92</v>
      </c>
      <c r="B48" s="34"/>
      <c r="C48" s="34"/>
      <c r="D48" s="34"/>
      <c r="E48" s="34"/>
      <c r="F48" s="34"/>
      <c r="G48" s="34"/>
      <c r="H48" s="34"/>
      <c r="I48" s="34"/>
      <c r="J48" s="34"/>
    </row>
    <row r="50" spans="2:10">
      <c r="B50" s="2" t="s">
        <v>93</v>
      </c>
      <c r="D50" s="128">
        <v>3412</v>
      </c>
      <c r="I50" s="2" t="s">
        <v>94</v>
      </c>
      <c r="J50" s="4" t="s">
        <v>95</v>
      </c>
    </row>
    <row r="51" spans="2:10">
      <c r="B51" s="2" t="s">
        <v>96</v>
      </c>
      <c r="D51" s="128">
        <v>1052</v>
      </c>
      <c r="I51" s="2" t="s">
        <v>94</v>
      </c>
      <c r="J51" s="4" t="s">
        <v>97</v>
      </c>
    </row>
    <row r="52" spans="2:10">
      <c r="B52" s="2" t="s">
        <v>98</v>
      </c>
      <c r="D52" s="128">
        <v>137381</v>
      </c>
      <c r="I52" s="2" t="s">
        <v>94</v>
      </c>
      <c r="J52" s="4" t="s">
        <v>95</v>
      </c>
    </row>
    <row r="53" spans="2:10">
      <c r="B53" s="2" t="s">
        <v>99</v>
      </c>
      <c r="D53" s="128">
        <v>91000</v>
      </c>
      <c r="I53" s="5" t="s">
        <v>100</v>
      </c>
      <c r="J53" s="6" t="s">
        <v>63</v>
      </c>
    </row>
    <row r="54" spans="2:10">
      <c r="B54" s="2" t="s">
        <v>101</v>
      </c>
      <c r="D54" s="128">
        <v>17480000</v>
      </c>
      <c r="I54" s="3"/>
      <c r="J54" s="6"/>
    </row>
    <row r="55" spans="2:10">
      <c r="B55" s="2" t="s">
        <v>102</v>
      </c>
      <c r="D55" s="130">
        <v>2.2046199999999998</v>
      </c>
    </row>
    <row r="56" spans="2:10">
      <c r="B56" t="s">
        <v>103</v>
      </c>
      <c r="D56" s="130">
        <v>1.1023099999999999</v>
      </c>
    </row>
  </sheetData>
  <mergeCells count="1">
    <mergeCell ref="D3:G3"/>
  </mergeCells>
  <hyperlinks>
    <hyperlink ref="J50" r:id="rId1" xr:uid="{2C2DC2C1-E8EF-41E1-B665-10935052681E}"/>
    <hyperlink ref="J51" r:id="rId2" xr:uid="{5CF83869-E6DB-432B-8E13-EB6C48CE40D5}"/>
    <hyperlink ref="J53" r:id="rId3" xr:uid="{CBE03F09-3F3E-444B-87D8-4A4C5A80E18B}"/>
    <hyperlink ref="J39" r:id="rId4" xr:uid="{57DAA7D6-B9E4-47AB-A041-37EC37BE5E58}"/>
    <hyperlink ref="J40" r:id="rId5" xr:uid="{5FFD06E7-A243-43CD-BB18-5C2EBF30A1BF}"/>
    <hyperlink ref="J42" r:id="rId6" xr:uid="{DD21F477-D9EB-4C9F-ABE2-C38CDFB0C58C}"/>
    <hyperlink ref="J41" r:id="rId7" xr:uid="{0F430F24-B8ED-4A2D-84CA-053B35B66DD0}"/>
    <hyperlink ref="J43" r:id="rId8" xr:uid="{83F8DD80-3C9B-4EAC-917E-0E4185B9D054}"/>
    <hyperlink ref="J44" r:id="rId9" xr:uid="{B11E532A-A902-4CAC-8A5A-D22E04192C86}"/>
    <hyperlink ref="J45" r:id="rId10" xr:uid="{BF0CBBCF-5110-43CF-88FA-647F48BB1CB7}"/>
    <hyperlink ref="J52" r:id="rId11" xr:uid="{62C9D6EB-7694-4AD1-8476-181096B29D4A}"/>
    <hyperlink ref="J8" r:id="rId12" xr:uid="{98346EB8-D0C5-41B9-8170-B42A525DFF57}"/>
    <hyperlink ref="J17" r:id="rId13" xr:uid="{7E682C54-39D8-4731-B490-76A8F718F907}"/>
    <hyperlink ref="J20" r:id="rId14" xr:uid="{B1450C84-9A34-478E-A1A2-E183337A91B7}"/>
    <hyperlink ref="J33" r:id="rId15" xr:uid="{48715705-BFDE-47FA-AEA7-43C744EB520C}"/>
    <hyperlink ref="J18" r:id="rId16" xr:uid="{A1A53403-A36B-4763-96DD-EAA9E537BF05}"/>
    <hyperlink ref="J22" r:id="rId17" xr:uid="{E20D1BD4-945A-4AD8-90C3-F22B05C96668}"/>
    <hyperlink ref="J23" r:id="rId18" xr:uid="{E1C8D28A-294B-4884-A42A-DBBAE78B31CC}"/>
    <hyperlink ref="J24" r:id="rId19" xr:uid="{EAEFAF97-23C4-436B-B175-7D1230C0223C}"/>
    <hyperlink ref="J25" r:id="rId20" xr:uid="{A5F8B73D-F959-43BA-9772-B955DBFBFECC}"/>
    <hyperlink ref="J26" r:id="rId21" xr:uid="{21A846EE-2C5B-47F0-B240-4C541C32C202}"/>
    <hyperlink ref="J27" r:id="rId22" xr:uid="{5E1343FA-29F3-46E6-B9E1-EFEB059A8F31}"/>
    <hyperlink ref="J28" r:id="rId23" xr:uid="{80D3716E-AFF0-4DA9-B1CD-2EC7D1E216C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ED764-127C-455F-AE21-CB0ECEC2DF8F}">
  <dimension ref="A1:Q34"/>
  <sheetViews>
    <sheetView zoomScaleNormal="100" workbookViewId="0">
      <selection activeCell="Q22" sqref="Q22"/>
    </sheetView>
  </sheetViews>
  <sheetFormatPr defaultRowHeight="15"/>
  <cols>
    <col min="1" max="1" width="36.7109375" customWidth="1"/>
    <col min="2" max="5" width="16.7109375" customWidth="1"/>
    <col min="6" max="6" width="14.42578125" customWidth="1"/>
    <col min="7" max="13" width="12.7109375" customWidth="1"/>
    <col min="14" max="14" width="2.28515625" customWidth="1"/>
    <col min="15" max="15" width="12.7109375" customWidth="1"/>
    <col min="16" max="16" width="2.28515625" customWidth="1"/>
    <col min="17" max="17" width="15.5703125" customWidth="1"/>
  </cols>
  <sheetData>
    <row r="1" spans="1:17" ht="18.75">
      <c r="A1" s="14" t="s">
        <v>104</v>
      </c>
      <c r="C1" s="124" t="s">
        <v>35</v>
      </c>
      <c r="D1" s="278" t="s">
        <v>105</v>
      </c>
    </row>
    <row r="3" spans="1:17">
      <c r="A3" s="17" t="s">
        <v>106</v>
      </c>
      <c r="B3" s="15">
        <v>2000</v>
      </c>
      <c r="C3" s="15">
        <v>2006</v>
      </c>
      <c r="D3" s="15">
        <v>2008</v>
      </c>
      <c r="E3" s="15">
        <v>2018</v>
      </c>
      <c r="G3" s="45"/>
      <c r="H3" s="45"/>
      <c r="I3" s="45"/>
    </row>
    <row r="5" spans="1:17">
      <c r="A5" s="28" t="s">
        <v>107</v>
      </c>
      <c r="B5" s="131">
        <v>3119566</v>
      </c>
      <c r="C5" s="131">
        <v>3565531</v>
      </c>
      <c r="D5" s="131">
        <v>3628385</v>
      </c>
      <c r="E5" s="39">
        <f>D9</f>
        <v>3897840</v>
      </c>
    </row>
    <row r="6" spans="1:17" ht="18">
      <c r="A6" s="106" t="s">
        <v>108</v>
      </c>
      <c r="B6" s="131">
        <v>783196</v>
      </c>
      <c r="C6" s="131">
        <v>850597</v>
      </c>
      <c r="D6" s="131">
        <v>785630</v>
      </c>
      <c r="E6" s="39">
        <f>O23+I27</f>
        <v>730319.59856645507</v>
      </c>
    </row>
    <row r="8" spans="1:17" s="34" customFormat="1">
      <c r="A8" s="102" t="s">
        <v>109</v>
      </c>
    </row>
    <row r="9" spans="1:17">
      <c r="A9" t="s">
        <v>110</v>
      </c>
      <c r="D9" s="132">
        <v>3897840</v>
      </c>
      <c r="E9" s="37" t="s">
        <v>111</v>
      </c>
      <c r="F9" t="s">
        <v>82</v>
      </c>
      <c r="K9" s="6" t="s">
        <v>112</v>
      </c>
    </row>
    <row r="10" spans="1:17">
      <c r="A10" t="s">
        <v>113</v>
      </c>
      <c r="D10" s="132">
        <v>7604646</v>
      </c>
      <c r="E10" s="37" t="s">
        <v>111</v>
      </c>
      <c r="F10" t="s">
        <v>114</v>
      </c>
      <c r="K10" s="6" t="s">
        <v>115</v>
      </c>
    </row>
    <row r="11" spans="1:17">
      <c r="A11" t="s">
        <v>116</v>
      </c>
      <c r="D11" s="132">
        <v>8370</v>
      </c>
      <c r="E11" s="37" t="s">
        <v>111</v>
      </c>
      <c r="F11" t="s">
        <v>117</v>
      </c>
      <c r="K11" s="6" t="s">
        <v>118</v>
      </c>
    </row>
    <row r="12" spans="1:17">
      <c r="A12" t="s">
        <v>119</v>
      </c>
      <c r="D12" s="163">
        <f>D11/D10</f>
        <v>1.1006429490603507E-3</v>
      </c>
      <c r="E12" s="37"/>
    </row>
    <row r="13" spans="1:17">
      <c r="A13" t="s">
        <v>120</v>
      </c>
      <c r="D13" s="129">
        <v>0.32</v>
      </c>
      <c r="E13" s="170" t="s">
        <v>111</v>
      </c>
      <c r="F13" t="s">
        <v>117</v>
      </c>
      <c r="K13" s="6" t="s">
        <v>121</v>
      </c>
    </row>
    <row r="14" spans="1:17" ht="18" customHeight="1">
      <c r="H14" s="286" t="s">
        <v>40</v>
      </c>
      <c r="I14" s="286"/>
      <c r="J14" s="287" t="s">
        <v>41</v>
      </c>
      <c r="K14" s="287"/>
      <c r="L14" s="287" t="s">
        <v>42</v>
      </c>
      <c r="M14" s="287"/>
      <c r="N14" s="277"/>
      <c r="O14" s="277" t="s">
        <v>122</v>
      </c>
      <c r="Q14" s="277" t="s">
        <v>122</v>
      </c>
    </row>
    <row r="15" spans="1:17" ht="45">
      <c r="A15" s="8" t="s">
        <v>84</v>
      </c>
      <c r="B15" s="15" t="s">
        <v>123</v>
      </c>
      <c r="C15" s="9" t="s">
        <v>124</v>
      </c>
      <c r="D15" s="15" t="s">
        <v>125</v>
      </c>
      <c r="E15" s="103" t="s">
        <v>126</v>
      </c>
      <c r="F15" s="9" t="s">
        <v>127</v>
      </c>
      <c r="G15" s="103" t="s">
        <v>128</v>
      </c>
      <c r="H15" s="9" t="s">
        <v>129</v>
      </c>
      <c r="I15" s="9" t="s">
        <v>130</v>
      </c>
      <c r="J15" s="51" t="s">
        <v>131</v>
      </c>
      <c r="K15" s="9" t="s">
        <v>130</v>
      </c>
      <c r="L15" s="51" t="s">
        <v>131</v>
      </c>
      <c r="M15" s="9" t="s">
        <v>130</v>
      </c>
      <c r="N15" s="9"/>
      <c r="O15" s="276" t="s">
        <v>130</v>
      </c>
      <c r="Q15" s="276" t="s">
        <v>132</v>
      </c>
    </row>
    <row r="16" spans="1:17">
      <c r="A16" t="s">
        <v>68</v>
      </c>
      <c r="B16" s="128">
        <v>58513230000</v>
      </c>
      <c r="C16" s="39">
        <f>B16-((D12*B23)*(B16/SUM(B16:B17)))</f>
        <v>58419791196.579781</v>
      </c>
      <c r="D16" s="40">
        <f>C16/$B$23</f>
        <v>0.68491091081025623</v>
      </c>
      <c r="E16" s="262">
        <f>D16*$D$9*365</f>
        <v>974430697.776317</v>
      </c>
      <c r="F16" s="129">
        <f>'Emission and Conversion Factors'!C39</f>
        <v>24.4</v>
      </c>
      <c r="G16" s="269">
        <f t="shared" ref="G16:G21" si="0">E16/F16</f>
        <v>39935684.335094959</v>
      </c>
      <c r="H16" s="126">
        <f>'Emission and Conversion Factors'!D17</f>
        <v>8.7799999999999994</v>
      </c>
      <c r="I16" s="263">
        <f>G16*H16/1000</f>
        <v>350635.30846213369</v>
      </c>
      <c r="J16" s="126">
        <f>'Emission and Conversion Factors'!E22</f>
        <v>5.1999999999999993E-6</v>
      </c>
      <c r="K16" s="264">
        <f>J16*E16*'Emission and Conversion Factors'!$E$33/1000</f>
        <v>141.87710959623175</v>
      </c>
      <c r="L16" s="126">
        <f>'Emission and Conversion Factors'!F22</f>
        <v>1.6000000000000001E-6</v>
      </c>
      <c r="M16" s="264">
        <f>L16*E16*'Emission and Conversion Factors'!$F$33/1000</f>
        <v>413.15861585715845</v>
      </c>
      <c r="N16" s="41"/>
      <c r="O16" s="134">
        <f>I16+K16+M16</f>
        <v>351190.34418758703</v>
      </c>
      <c r="Q16" s="175">
        <f>O16*((B16-C16)/B16)</f>
        <v>560.81001738620728</v>
      </c>
    </row>
    <row r="17" spans="1:17">
      <c r="A17" t="s">
        <v>70</v>
      </c>
      <c r="B17" s="128">
        <v>276190000</v>
      </c>
      <c r="C17" s="39">
        <f>B17-((D12*B23)*(B17/SUM(B16:B17)))</f>
        <v>275748956.78436089</v>
      </c>
      <c r="D17" s="40">
        <f t="shared" ref="D17:D22" si="1">C17/$B$23</f>
        <v>3.232867925026266E-3</v>
      </c>
      <c r="E17" s="104">
        <f t="shared" ref="E17:E22" si="2">D17*$D$9*365</f>
        <v>4599438.6982027991</v>
      </c>
      <c r="F17" s="129">
        <f>'Emission and Conversion Factors'!C40</f>
        <v>24.4</v>
      </c>
      <c r="G17" s="270">
        <f t="shared" si="0"/>
        <v>188501.58599191799</v>
      </c>
      <c r="H17" s="126">
        <f>'Emission and Conversion Factors'!D18</f>
        <v>10.210000000000001</v>
      </c>
      <c r="I17" s="261">
        <f t="shared" ref="I17:I21" si="3">G17*H17/1000</f>
        <v>1924.6011929774829</v>
      </c>
      <c r="J17" s="126">
        <f>'Emission and Conversion Factors'!E23</f>
        <v>3.0200000000000002E-5</v>
      </c>
      <c r="K17" s="41">
        <f>J17*E17*'Emission and Conversion Factors'!$E$33/1000</f>
        <v>3.8892853632002873</v>
      </c>
      <c r="L17" s="126">
        <f>'Emission and Conversion Factors'!F23</f>
        <v>1.9199999999999999E-5</v>
      </c>
      <c r="M17" s="41">
        <f>L17*E17*'Emission and Conversion Factors'!$F$33/1000</f>
        <v>23.401944096455839</v>
      </c>
      <c r="N17" s="41"/>
      <c r="O17" s="134">
        <f t="shared" ref="O17:O22" si="4">I17+K17+M17</f>
        <v>1951.892422437139</v>
      </c>
      <c r="Q17" s="175">
        <f>O17*((B17-C17)/B17)</f>
        <v>3.1169445330145784</v>
      </c>
    </row>
    <row r="18" spans="1:17">
      <c r="A18" t="s">
        <v>72</v>
      </c>
      <c r="B18" s="128">
        <v>16825520000</v>
      </c>
      <c r="C18" s="39">
        <f t="shared" ref="C18:C22" si="5">B18</f>
        <v>16825520000</v>
      </c>
      <c r="D18" s="40">
        <f t="shared" si="1"/>
        <v>0.19726161275172208</v>
      </c>
      <c r="E18" s="104">
        <f t="shared" si="2"/>
        <v>280646384.69658291</v>
      </c>
      <c r="F18" s="129">
        <f>'Emission and Conversion Factors'!C41</f>
        <v>17.899999999999999</v>
      </c>
      <c r="G18" s="270">
        <f t="shared" si="0"/>
        <v>15678568.977462733</v>
      </c>
      <c r="H18" s="126">
        <f>'Emission and Conversion Factors'!D17</f>
        <v>8.7799999999999994</v>
      </c>
      <c r="I18" s="261">
        <f t="shared" si="3"/>
        <v>137657.8356221228</v>
      </c>
      <c r="J18" s="126">
        <f>'Emission and Conversion Factors'!E24</f>
        <v>8.1000000000000004E-6</v>
      </c>
      <c r="K18" s="41">
        <f>J18*E18*'Emission and Conversion Factors'!$E$33/1000</f>
        <v>63.650600049185009</v>
      </c>
      <c r="L18" s="126">
        <f>'Emission and Conversion Factors'!F24</f>
        <v>1.5E-6</v>
      </c>
      <c r="M18" s="41">
        <f>L18*E18*'Emission and Conversion Factors'!$F$33/1000</f>
        <v>111.55693791689171</v>
      </c>
      <c r="N18" s="41"/>
      <c r="O18" s="134">
        <f t="shared" si="4"/>
        <v>137833.04316008888</v>
      </c>
    </row>
    <row r="19" spans="1:17">
      <c r="A19" t="s">
        <v>73</v>
      </c>
      <c r="B19" s="128">
        <v>664360000</v>
      </c>
      <c r="C19" s="39">
        <f t="shared" si="5"/>
        <v>664360000</v>
      </c>
      <c r="D19" s="40">
        <f t="shared" si="1"/>
        <v>7.7889256942866598E-3</v>
      </c>
      <c r="E19" s="104">
        <f t="shared" si="2"/>
        <v>11081394.936799685</v>
      </c>
      <c r="F19" s="129">
        <f>'Emission and Conversion Factors'!C42</f>
        <v>17.899999999999999</v>
      </c>
      <c r="G19" s="270">
        <f t="shared" si="0"/>
        <v>619072.34283797129</v>
      </c>
      <c r="H19" s="126">
        <f>'Emission and Conversion Factors'!D18</f>
        <v>10.210000000000001</v>
      </c>
      <c r="I19" s="261">
        <f t="shared" si="3"/>
        <v>6320.7286203756876</v>
      </c>
      <c r="J19" s="126">
        <f>'Emission and Conversion Factors'!E25</f>
        <v>2.9E-5</v>
      </c>
      <c r="K19" s="41">
        <f>J19*E19*'Emission and Conversion Factors'!$E$33/1000</f>
        <v>8.9980926886813428</v>
      </c>
      <c r="L19" s="126">
        <f>'Emission and Conversion Factors'!F25</f>
        <v>2.1399999999999998E-5</v>
      </c>
      <c r="M19" s="41">
        <f>L19*E19*'Emission and Conversion Factors'!$F$33/1000</f>
        <v>62.842590686591002</v>
      </c>
      <c r="N19" s="41"/>
      <c r="O19" s="134">
        <f t="shared" si="4"/>
        <v>6392.56930375096</v>
      </c>
    </row>
    <row r="20" spans="1:17">
      <c r="A20" t="s">
        <v>74</v>
      </c>
      <c r="B20" s="128">
        <v>1220370000</v>
      </c>
      <c r="C20" s="39">
        <f t="shared" si="5"/>
        <v>1220370000</v>
      </c>
      <c r="D20" s="40">
        <f t="shared" si="1"/>
        <v>1.4307561035487703E-2</v>
      </c>
      <c r="E20" s="104">
        <f t="shared" si="2"/>
        <v>20355533.052896369</v>
      </c>
      <c r="F20" s="129">
        <f>'Emission and Conversion Factors'!C43</f>
        <v>5.365653</v>
      </c>
      <c r="G20" s="270">
        <f t="shared" si="0"/>
        <v>3793673.0259851632</v>
      </c>
      <c r="H20" s="126">
        <f>'Emission and Conversion Factors'!D17</f>
        <v>8.7799999999999994</v>
      </c>
      <c r="I20" s="261">
        <f t="shared" si="3"/>
        <v>33308.449168149731</v>
      </c>
      <c r="J20" s="126">
        <f>'Emission and Conversion Factors'!E26</f>
        <v>3.26E-5</v>
      </c>
      <c r="K20" s="41">
        <f>J20*E20*'Emission and Conversion Factors'!$E$33/1000</f>
        <v>18.580530570683809</v>
      </c>
      <c r="L20" s="126">
        <f>'Emission and Conversion Factors'!F26</f>
        <v>8.2000000000000011E-6</v>
      </c>
      <c r="M20" s="41">
        <f>L20*E20*'Emission and Conversion Factors'!$F$33/1000</f>
        <v>44.232573323943818</v>
      </c>
      <c r="N20" s="41"/>
      <c r="O20" s="134">
        <f t="shared" si="4"/>
        <v>33371.262272044354</v>
      </c>
    </row>
    <row r="21" spans="1:17">
      <c r="A21" t="s">
        <v>75</v>
      </c>
      <c r="B21" s="128">
        <v>7267070000</v>
      </c>
      <c r="C21" s="39">
        <f t="shared" si="5"/>
        <v>7267070000</v>
      </c>
      <c r="D21" s="40">
        <f t="shared" si="1"/>
        <v>8.5198790181798656E-2</v>
      </c>
      <c r="E21" s="104">
        <f t="shared" si="2"/>
        <v>121213307.09761105</v>
      </c>
      <c r="F21" s="129">
        <f>'Emission and Conversion Factors'!C44</f>
        <v>6.3077079999999999</v>
      </c>
      <c r="G21" s="270">
        <f t="shared" si="0"/>
        <v>19216696.000767801</v>
      </c>
      <c r="H21" s="126">
        <f>'Emission and Conversion Factors'!D18</f>
        <v>10.210000000000001</v>
      </c>
      <c r="I21" s="261">
        <f t="shared" si="3"/>
        <v>196202.46616783927</v>
      </c>
      <c r="J21" s="126">
        <f>'Emission and Conversion Factors'!E27</f>
        <v>9.5000000000000005E-6</v>
      </c>
      <c r="K21" s="41">
        <f>J21*E21*'Emission and Conversion Factors'!$E$33/1000</f>
        <v>32.242739687964537</v>
      </c>
      <c r="L21" s="126">
        <f>'Emission and Conversion Factors'!F27</f>
        <v>4.3099999999999997E-5</v>
      </c>
      <c r="M21" s="41">
        <f>L21*E21*'Emission and Conversion Factors'!$F$33/1000</f>
        <v>1384.4377870153644</v>
      </c>
      <c r="N21" s="41"/>
      <c r="O21" s="160">
        <f t="shared" si="4"/>
        <v>197619.14669454261</v>
      </c>
    </row>
    <row r="22" spans="1:17">
      <c r="A22" t="s">
        <v>76</v>
      </c>
      <c r="B22" s="133">
        <v>528720000</v>
      </c>
      <c r="C22" s="165">
        <f t="shared" si="5"/>
        <v>528720000</v>
      </c>
      <c r="D22" s="166">
        <f t="shared" si="1"/>
        <v>6.1986886523620367E-3</v>
      </c>
      <c r="E22" s="268">
        <f t="shared" si="2"/>
        <v>8818946.2505038381</v>
      </c>
      <c r="F22" s="129">
        <f>'Emission and Conversion Factors'!C45</f>
        <v>44</v>
      </c>
      <c r="G22" s="271">
        <f>E22/F22</f>
        <v>200430.59660235996</v>
      </c>
      <c r="H22" s="126">
        <f>'Emission and Conversion Factors'!D17</f>
        <v>8.7799999999999994</v>
      </c>
      <c r="I22" s="261">
        <f>G22*H22/1000</f>
        <v>1759.7806381687203</v>
      </c>
      <c r="J22" s="126">
        <f>'Emission and Conversion Factors'!E28</f>
        <v>6.7199999999999994E-5</v>
      </c>
      <c r="K22" s="167">
        <f>J22*E22*'Emission and Conversion Factors'!$E$33/1000</f>
        <v>16.593729264948021</v>
      </c>
      <c r="L22" s="126">
        <f>'Emission and Conversion Factors'!F28</f>
        <v>6.9E-6</v>
      </c>
      <c r="M22" s="167">
        <f>L22*E22*'Emission and Conversion Factors'!$F$33/1000</f>
        <v>16.125443219046268</v>
      </c>
      <c r="N22" s="167"/>
      <c r="O22" s="134">
        <f t="shared" si="4"/>
        <v>1792.4998106527146</v>
      </c>
    </row>
    <row r="23" spans="1:17">
      <c r="A23" t="s">
        <v>133</v>
      </c>
      <c r="B23" s="39">
        <f>SUM(B16:B22)</f>
        <v>85295460000</v>
      </c>
      <c r="C23" s="39">
        <f>SUM(C16:C22)</f>
        <v>85201580153.364136</v>
      </c>
      <c r="D23" s="168">
        <f>SUM(D16:D22)</f>
        <v>0.99889935705093968</v>
      </c>
      <c r="E23" s="265">
        <f>SUM(E16:E22)</f>
        <v>1421145702.5089135</v>
      </c>
      <c r="F23" s="266" t="s">
        <v>10</v>
      </c>
      <c r="G23" s="262">
        <f>SUM(G16:G22)</f>
        <v>79632626.86474292</v>
      </c>
      <c r="H23" s="266" t="s">
        <v>10</v>
      </c>
      <c r="I23" s="267">
        <f>SUM(I16:I22)</f>
        <v>727809.16987176728</v>
      </c>
      <c r="J23" s="266" t="s">
        <v>10</v>
      </c>
      <c r="K23" s="267">
        <f>SUM(K16:K22)</f>
        <v>285.83208722089478</v>
      </c>
      <c r="L23" s="266" t="s">
        <v>10</v>
      </c>
      <c r="M23" s="267">
        <f>SUM(M16:M22)</f>
        <v>2055.7558921154514</v>
      </c>
      <c r="N23" s="39"/>
      <c r="O23" s="135">
        <f>SUM(O16:O22)</f>
        <v>730150.75785110367</v>
      </c>
    </row>
    <row r="24" spans="1:17">
      <c r="B24" s="39"/>
      <c r="E24" s="161"/>
      <c r="F24" s="23"/>
      <c r="G24" s="159"/>
      <c r="I24" s="39"/>
      <c r="K24" s="39"/>
      <c r="M24" s="39"/>
      <c r="N24" s="39"/>
      <c r="O24" s="162"/>
    </row>
    <row r="25" spans="1:17">
      <c r="A25" s="41"/>
      <c r="B25" s="41"/>
      <c r="C25" s="39"/>
      <c r="H25" s="287" t="s">
        <v>122</v>
      </c>
      <c r="I25" s="287"/>
      <c r="J25" s="157"/>
      <c r="K25" s="157"/>
      <c r="L25" s="157"/>
      <c r="M25" s="157"/>
      <c r="N25" s="28"/>
    </row>
    <row r="26" spans="1:17" ht="45">
      <c r="B26" s="164"/>
      <c r="C26" s="9" t="s">
        <v>134</v>
      </c>
      <c r="D26" s="15" t="s">
        <v>125</v>
      </c>
      <c r="E26" s="103" t="s">
        <v>126</v>
      </c>
      <c r="F26" s="9" t="s">
        <v>135</v>
      </c>
      <c r="G26" s="103" t="s">
        <v>136</v>
      </c>
      <c r="H26" s="171" t="s">
        <v>137</v>
      </c>
      <c r="I26" s="276" t="s">
        <v>130</v>
      </c>
      <c r="J26" s="51"/>
      <c r="K26" s="51"/>
      <c r="L26" s="51"/>
      <c r="N26" s="51"/>
      <c r="Q26" s="276" t="s">
        <v>138</v>
      </c>
    </row>
    <row r="27" spans="1:17">
      <c r="A27" t="s">
        <v>139</v>
      </c>
      <c r="B27" s="39"/>
      <c r="C27" s="39">
        <f>B23*D12</f>
        <v>93879846.635859177</v>
      </c>
      <c r="D27" s="174">
        <f t="shared" ref="D27" si="6">C27/$B$23</f>
        <v>1.1006429490603507E-3</v>
      </c>
      <c r="E27" s="104">
        <f t="shared" ref="E27" si="7">D27*$D$9*365</f>
        <v>1565897.4910863701</v>
      </c>
      <c r="F27" s="129">
        <f>D13</f>
        <v>0.32</v>
      </c>
      <c r="G27" s="105">
        <f>E27*F27</f>
        <v>501087.19714763842</v>
      </c>
      <c r="H27" s="273">
        <f>'Emission and Conversion Factors'!G8</f>
        <v>336.94877121680838</v>
      </c>
      <c r="I27" s="172">
        <f>((G27/1000)*H27)/1000</f>
        <v>168.84071535137139</v>
      </c>
      <c r="J27" s="18"/>
      <c r="K27" s="249"/>
      <c r="L27" s="18"/>
      <c r="N27" s="159"/>
      <c r="O27" s="162"/>
      <c r="Q27" s="176">
        <f>SUM(Q16:Q17)-I27</f>
        <v>395.08624656785048</v>
      </c>
    </row>
    <row r="28" spans="1:17">
      <c r="B28" s="39"/>
      <c r="D28" s="161"/>
      <c r="E28" s="23"/>
      <c r="F28" s="159"/>
      <c r="H28" s="39"/>
      <c r="J28" s="39"/>
      <c r="L28" s="39"/>
      <c r="M28" s="39"/>
      <c r="N28" s="162"/>
    </row>
    <row r="30" spans="1:17">
      <c r="A30" s="37" t="s">
        <v>140</v>
      </c>
      <c r="B30" s="2" t="s">
        <v>141</v>
      </c>
      <c r="E30" s="6" t="s">
        <v>142</v>
      </c>
      <c r="N30" s="18"/>
    </row>
    <row r="31" spans="1:17">
      <c r="A31" s="37" t="s">
        <v>143</v>
      </c>
      <c r="B31" s="169" t="s">
        <v>144</v>
      </c>
      <c r="E31" s="6" t="s">
        <v>145</v>
      </c>
      <c r="N31" s="18"/>
    </row>
    <row r="32" spans="1:17">
      <c r="A32" s="37" t="s">
        <v>143</v>
      </c>
      <c r="B32" s="2" t="s">
        <v>146</v>
      </c>
      <c r="E32" s="6" t="s">
        <v>91</v>
      </c>
      <c r="N32" s="18"/>
    </row>
    <row r="33" spans="1:14">
      <c r="A33" s="2"/>
      <c r="B33" s="6"/>
      <c r="N33" s="18"/>
    </row>
    <row r="34" spans="1:14" s="34" customFormat="1">
      <c r="A34" s="102" t="s">
        <v>147</v>
      </c>
    </row>
  </sheetData>
  <mergeCells count="4">
    <mergeCell ref="H14:I14"/>
    <mergeCell ref="J14:K14"/>
    <mergeCell ref="L14:M14"/>
    <mergeCell ref="H25:I25"/>
  </mergeCells>
  <hyperlinks>
    <hyperlink ref="E30" r:id="rId1" xr:uid="{0E080721-D348-4F3C-8CAF-BE998FB39693}"/>
    <hyperlink ref="E31" r:id="rId2" xr:uid="{208B3F9B-77E6-49EB-9DF6-27CB9E18C24C}"/>
    <hyperlink ref="E32" r:id="rId3" xr:uid="{6493FA86-3D05-4D37-B5F1-604EA4611146}"/>
    <hyperlink ref="K9" r:id="rId4" xr:uid="{593AC924-CF43-4959-8031-60A67EA47E9E}"/>
    <hyperlink ref="K10" r:id="rId5" xr:uid="{3BBB61A6-BB80-41B6-9735-549C1295CBB8}"/>
    <hyperlink ref="K11" r:id="rId6" xr:uid="{BFFDFE86-F6C5-4DFC-A6C1-C64DAEFA9B04}"/>
    <hyperlink ref="K13" r:id="rId7" xr:uid="{7ACE0EE2-2216-431E-88F1-BF6A27C80C2B}"/>
  </hyperlinks>
  <pageMargins left="0.7" right="0.7" top="0.75" bottom="0.75" header="0.3" footer="0.3"/>
  <pageSetup orientation="portrait" verticalDpi="0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863EF-2D5E-4DA6-B215-807459A4E592}">
  <dimension ref="A1:N38"/>
  <sheetViews>
    <sheetView workbookViewId="0">
      <selection activeCell="J19" sqref="J19"/>
    </sheetView>
  </sheetViews>
  <sheetFormatPr defaultRowHeight="15"/>
  <cols>
    <col min="1" max="1" width="4" customWidth="1"/>
    <col min="2" max="2" width="19.140625" customWidth="1"/>
    <col min="3" max="6" width="12.7109375" customWidth="1"/>
    <col min="7" max="7" width="14.85546875" customWidth="1"/>
    <col min="8" max="8" width="11.28515625" customWidth="1"/>
    <col min="11" max="11" width="19.140625" bestFit="1" customWidth="1"/>
    <col min="12" max="12" width="18.140625" bestFit="1" customWidth="1"/>
    <col min="13" max="13" width="16.28515625" bestFit="1" customWidth="1"/>
  </cols>
  <sheetData>
    <row r="1" spans="1:14" ht="18.75">
      <c r="A1" s="14" t="s">
        <v>148</v>
      </c>
      <c r="E1" s="124" t="s">
        <v>35</v>
      </c>
      <c r="F1" s="278" t="s">
        <v>105</v>
      </c>
    </row>
    <row r="3" spans="1:14" ht="18">
      <c r="A3" s="1" t="s">
        <v>149</v>
      </c>
    </row>
    <row r="4" spans="1:14">
      <c r="C4" s="288" t="s">
        <v>150</v>
      </c>
      <c r="D4" s="288"/>
      <c r="E4" s="288"/>
      <c r="F4" s="288"/>
      <c r="G4" s="288"/>
      <c r="H4" s="26"/>
    </row>
    <row r="5" spans="1:14" ht="30">
      <c r="B5" s="8"/>
      <c r="C5" s="141" t="s">
        <v>151</v>
      </c>
      <c r="D5" s="141" t="s">
        <v>152</v>
      </c>
      <c r="E5" s="141" t="s">
        <v>153</v>
      </c>
      <c r="F5" s="141" t="s">
        <v>154</v>
      </c>
      <c r="G5" s="143" t="s">
        <v>155</v>
      </c>
      <c r="H5" s="50" t="s">
        <v>130</v>
      </c>
    </row>
    <row r="6" spans="1:14">
      <c r="B6" s="142" t="s">
        <v>5</v>
      </c>
      <c r="C6" s="140">
        <v>552836962</v>
      </c>
      <c r="D6" s="140">
        <v>45525874</v>
      </c>
      <c r="E6" s="140">
        <v>58893164</v>
      </c>
      <c r="F6" s="140">
        <v>28899582</v>
      </c>
      <c r="G6" s="7">
        <f>SUM(C6:F6)</f>
        <v>686155582</v>
      </c>
      <c r="H6" s="134">
        <f>G6*'Emission and Conversion Factors'!$G$8/1000000</f>
        <v>231199.28021845402</v>
      </c>
      <c r="J6" s="192"/>
      <c r="M6" s="45"/>
    </row>
    <row r="7" spans="1:14">
      <c r="B7" s="142" t="s">
        <v>6</v>
      </c>
      <c r="C7" s="131">
        <v>348617794</v>
      </c>
      <c r="D7" s="131">
        <v>11667149</v>
      </c>
      <c r="E7" s="131">
        <v>6034379</v>
      </c>
      <c r="F7" s="131">
        <v>35588269</v>
      </c>
      <c r="G7" s="7">
        <f t="shared" ref="G7:G9" si="0">SUM(C7:F7)</f>
        <v>401907591</v>
      </c>
      <c r="H7" s="134">
        <f>G7*'Emission and Conversion Factors'!$G$8/1000000</f>
        <v>135422.26893015759</v>
      </c>
      <c r="J7" s="192"/>
      <c r="K7" s="47"/>
      <c r="L7" s="47"/>
      <c r="M7" s="250"/>
      <c r="N7" s="47"/>
    </row>
    <row r="8" spans="1:14">
      <c r="B8" s="142" t="s">
        <v>7</v>
      </c>
      <c r="C8" s="131">
        <v>9362902</v>
      </c>
      <c r="D8" s="131">
        <v>4692748</v>
      </c>
      <c r="E8" s="126">
        <v>0</v>
      </c>
      <c r="F8" s="126">
        <v>0</v>
      </c>
      <c r="G8" s="7">
        <f t="shared" si="0"/>
        <v>14055650</v>
      </c>
      <c r="H8" s="134">
        <f>G8*'Emission and Conversion Factors'!$G$8/1000000</f>
        <v>4736.0339961535328</v>
      </c>
      <c r="J8" s="192"/>
      <c r="M8" s="45"/>
    </row>
    <row r="9" spans="1:14">
      <c r="B9" s="142" t="s">
        <v>156</v>
      </c>
      <c r="C9" s="131">
        <v>166217863</v>
      </c>
      <c r="D9" s="131">
        <v>2266114</v>
      </c>
      <c r="E9" s="131">
        <v>524745</v>
      </c>
      <c r="F9" s="126">
        <v>0</v>
      </c>
      <c r="G9" s="7">
        <f t="shared" si="0"/>
        <v>169008722</v>
      </c>
      <c r="H9" s="136">
        <f>G9*'Emission and Conversion Factors'!$G$8/1000000</f>
        <v>56947.281202823164</v>
      </c>
      <c r="J9" s="192"/>
      <c r="M9" s="45"/>
    </row>
    <row r="10" spans="1:14">
      <c r="H10" s="135">
        <f>SUM(H6:H9)</f>
        <v>428304.86434758827</v>
      </c>
      <c r="M10" s="45"/>
    </row>
    <row r="11" spans="1:14">
      <c r="K11" s="45"/>
      <c r="L11" s="45"/>
    </row>
    <row r="12" spans="1:14" ht="18">
      <c r="A12" s="1" t="s">
        <v>157</v>
      </c>
      <c r="K12" s="45"/>
    </row>
    <row r="13" spans="1:14">
      <c r="B13" s="1"/>
    </row>
    <row r="14" spans="1:14" ht="30">
      <c r="B14" s="17" t="s">
        <v>51</v>
      </c>
      <c r="C14" s="15" t="s">
        <v>158</v>
      </c>
      <c r="D14" s="50" t="s">
        <v>130</v>
      </c>
      <c r="G14" s="139"/>
    </row>
    <row r="15" spans="1:14">
      <c r="B15" s="142" t="s">
        <v>5</v>
      </c>
      <c r="C15" s="45">
        <f>'Cville Gas Detail'!B22</f>
        <v>422834171</v>
      </c>
      <c r="D15" s="134">
        <f>C15*'Emission and Conversion Factors'!$G$10/1000</f>
        <v>23042.49191226314</v>
      </c>
      <c r="G15" s="139"/>
    </row>
    <row r="16" spans="1:14">
      <c r="B16" s="142" t="s">
        <v>6</v>
      </c>
      <c r="C16" s="45">
        <f>'Cville Gas Detail'!B23</f>
        <v>476636551</v>
      </c>
      <c r="D16" s="134">
        <f>C16*'Emission and Conversion Factors'!$G$10/1000</f>
        <v>25974.47090317234</v>
      </c>
      <c r="G16" s="139"/>
      <c r="L16" s="97"/>
      <c r="M16" s="199"/>
    </row>
    <row r="17" spans="1:13">
      <c r="B17" s="142" t="s">
        <v>7</v>
      </c>
      <c r="C17" s="45">
        <f>'Cville Gas Detail'!B24</f>
        <v>66796786</v>
      </c>
      <c r="D17" s="134">
        <f>C17*'Emission and Conversion Factors'!$G$10/1000</f>
        <v>3640.1135639772401</v>
      </c>
      <c r="G17" s="139"/>
      <c r="K17" s="18"/>
      <c r="L17" s="150"/>
      <c r="M17" s="199"/>
    </row>
    <row r="18" spans="1:13">
      <c r="B18" s="142" t="s">
        <v>156</v>
      </c>
      <c r="C18" s="46">
        <f>'Cville Gas Detail'!B25</f>
        <v>955416594</v>
      </c>
      <c r="D18" s="136">
        <f>C18*'Emission and Conversion Factors'!$G$10/1000</f>
        <v>52065.752131671965</v>
      </c>
      <c r="G18" s="139"/>
      <c r="K18" s="18"/>
      <c r="L18" s="18"/>
      <c r="M18" s="150"/>
    </row>
    <row r="19" spans="1:13">
      <c r="C19" s="45">
        <f>SUM(C15:C18)</f>
        <v>1921684102</v>
      </c>
      <c r="D19" s="135">
        <f>SUM(D15:D18)</f>
        <v>104722.82851108469</v>
      </c>
      <c r="G19" s="139"/>
    </row>
    <row r="20" spans="1:13">
      <c r="G20" s="139"/>
    </row>
    <row r="21" spans="1:13" ht="18">
      <c r="A21" s="1" t="s">
        <v>159</v>
      </c>
      <c r="B21" s="157"/>
      <c r="G21" s="139"/>
    </row>
    <row r="22" spans="1:13">
      <c r="A22" s="1"/>
      <c r="B22" s="157"/>
      <c r="G22" s="139"/>
    </row>
    <row r="23" spans="1:13">
      <c r="A23" s="1"/>
      <c r="E23" s="37" t="s">
        <v>160</v>
      </c>
      <c r="F23" s="19">
        <f>'Cville Gas Detail'!B32</f>
        <v>52.950833730324604</v>
      </c>
      <c r="G23" s="139"/>
    </row>
    <row r="24" spans="1:13" ht="45">
      <c r="B24" s="17" t="s">
        <v>161</v>
      </c>
      <c r="C24" s="15" t="s">
        <v>39</v>
      </c>
      <c r="D24" s="9" t="s">
        <v>162</v>
      </c>
      <c r="E24" s="9" t="s">
        <v>163</v>
      </c>
      <c r="F24" s="9" t="s">
        <v>164</v>
      </c>
      <c r="G24" s="50" t="s">
        <v>130</v>
      </c>
    </row>
    <row r="25" spans="1:13">
      <c r="B25" s="31" t="s">
        <v>165</v>
      </c>
      <c r="C25" t="s">
        <v>166</v>
      </c>
      <c r="D25" s="7">
        <f>$F$23*1000000/'Emission and Conversion Factors'!D52</f>
        <v>385.43054520148058</v>
      </c>
      <c r="E25" s="97">
        <f>'Home Heating Fuel'!B11</f>
        <v>2316</v>
      </c>
      <c r="F25" s="7">
        <f>D25*E25</f>
        <v>892657.14268662909</v>
      </c>
      <c r="G25" s="134">
        <f>F25*'Emission and Conversion Factors'!G11/1000</f>
        <v>9143.4514062534363</v>
      </c>
      <c r="I25" s="41"/>
    </row>
    <row r="26" spans="1:13">
      <c r="B26" s="153" t="s">
        <v>167</v>
      </c>
      <c r="C26" t="s">
        <v>168</v>
      </c>
      <c r="D26" s="7">
        <f>$F$23*1000000/'Emission and Conversion Factors'!D53</f>
        <v>581.87729373983086</v>
      </c>
      <c r="E26" s="97">
        <f>'Home Heating Fuel'!B9</f>
        <v>3617</v>
      </c>
      <c r="F26" s="7">
        <f t="shared" ref="F26" si="1">D26*E26</f>
        <v>2104650.1714569684</v>
      </c>
      <c r="G26" s="134">
        <f>F26*'Emission and Conversion Factors'!G12/1000</f>
        <v>12082.396750801878</v>
      </c>
    </row>
    <row r="27" spans="1:13">
      <c r="B27" s="31" t="s">
        <v>169</v>
      </c>
      <c r="C27" t="s">
        <v>59</v>
      </c>
      <c r="D27" s="20">
        <f>$F$23*1000000/'Emission and Conversion Factors'!D54</f>
        <v>3.0292238976158239</v>
      </c>
      <c r="E27" s="97">
        <f>'Home Heating Fuel'!B13</f>
        <v>798</v>
      </c>
      <c r="F27" s="7">
        <f t="shared" ref="F27" si="2">D27*E27</f>
        <v>2417.3206702974276</v>
      </c>
      <c r="G27" s="136">
        <f>F27*'Emission and Conversion Factors'!G13/1000</f>
        <v>4013.2913752032064</v>
      </c>
    </row>
    <row r="28" spans="1:13">
      <c r="G28" s="135">
        <f>SUM(G25:G27)</f>
        <v>25239.139532258519</v>
      </c>
    </row>
    <row r="30" spans="1:13">
      <c r="A30" s="1" t="s">
        <v>106</v>
      </c>
    </row>
    <row r="31" spans="1:13" ht="45">
      <c r="C31" s="8" t="s">
        <v>170</v>
      </c>
      <c r="D31" s="8" t="s">
        <v>51</v>
      </c>
      <c r="E31" s="8" t="s">
        <v>171</v>
      </c>
      <c r="F31" s="50" t="s">
        <v>172</v>
      </c>
    </row>
    <row r="32" spans="1:13">
      <c r="B32" s="142" t="s">
        <v>5</v>
      </c>
      <c r="C32" s="45">
        <f>H6</f>
        <v>231199.28021845402</v>
      </c>
      <c r="D32" s="45">
        <f>D15</f>
        <v>23042.49191226314</v>
      </c>
      <c r="E32" s="45">
        <f>G28</f>
        <v>25239.139532258519</v>
      </c>
      <c r="F32" s="134">
        <f>SUM(C32:E32)</f>
        <v>279480.91166297568</v>
      </c>
      <c r="H32" s="45">
        <v>270823</v>
      </c>
    </row>
    <row r="33" spans="2:8">
      <c r="B33" s="142" t="s">
        <v>6</v>
      </c>
      <c r="C33" s="45">
        <f>H7</f>
        <v>135422.26893015759</v>
      </c>
      <c r="D33" s="45">
        <f>D16</f>
        <v>25974.47090317234</v>
      </c>
      <c r="F33" s="134">
        <f t="shared" ref="F33:F35" si="3">SUM(C33:E33)</f>
        <v>161396.73983332992</v>
      </c>
      <c r="H33" s="45">
        <v>156039</v>
      </c>
    </row>
    <row r="34" spans="2:8">
      <c r="B34" s="142" t="s">
        <v>7</v>
      </c>
      <c r="C34" s="45">
        <f>H8</f>
        <v>4736.0339961535328</v>
      </c>
      <c r="D34" s="45">
        <f>D17</f>
        <v>3640.1135639772401</v>
      </c>
      <c r="F34" s="134">
        <f t="shared" si="3"/>
        <v>8376.147560130772</v>
      </c>
      <c r="H34" s="45">
        <v>8376</v>
      </c>
    </row>
    <row r="35" spans="2:8">
      <c r="B35" s="142" t="s">
        <v>156</v>
      </c>
      <c r="C35" s="45">
        <f>H9</f>
        <v>56947.281202823164</v>
      </c>
      <c r="D35" s="45">
        <f>D18</f>
        <v>52065.752131671965</v>
      </c>
      <c r="F35" s="134">
        <f t="shared" si="3"/>
        <v>109013.03333449512</v>
      </c>
      <c r="H35" s="45">
        <v>109013</v>
      </c>
    </row>
    <row r="36" spans="2:8">
      <c r="B36" t="s">
        <v>173</v>
      </c>
      <c r="C36" s="45">
        <f>-1*(Transportation!I27)</f>
        <v>-168.84071535137139</v>
      </c>
      <c r="F36" s="134">
        <f>C36</f>
        <v>-168.84071535137139</v>
      </c>
      <c r="H36">
        <v>-169</v>
      </c>
    </row>
    <row r="37" spans="2:8">
      <c r="B37" s="43"/>
      <c r="F37" s="173"/>
      <c r="H37" s="45">
        <v>544082</v>
      </c>
    </row>
    <row r="38" spans="2:8">
      <c r="B38" t="s">
        <v>174</v>
      </c>
    </row>
  </sheetData>
  <mergeCells count="1">
    <mergeCell ref="C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1CA21-63F9-4937-B928-4DBE4BB2B6C4}">
  <dimension ref="A1:G42"/>
  <sheetViews>
    <sheetView workbookViewId="0">
      <selection activeCell="D1" sqref="D1"/>
    </sheetView>
  </sheetViews>
  <sheetFormatPr defaultRowHeight="15"/>
  <cols>
    <col min="1" max="1" width="54.5703125" customWidth="1"/>
    <col min="2" max="2" width="15.85546875" customWidth="1"/>
    <col min="3" max="3" width="18.140625" customWidth="1"/>
    <col min="4" max="4" width="27.7109375" customWidth="1"/>
    <col min="5" max="5" width="8.5703125" customWidth="1"/>
    <col min="6" max="6" width="14.28515625" customWidth="1"/>
    <col min="7" max="7" width="11.42578125" customWidth="1"/>
    <col min="10" max="10" width="27.42578125" customWidth="1"/>
    <col min="12" max="12" width="13" customWidth="1"/>
    <col min="13" max="13" width="11.5703125" customWidth="1"/>
  </cols>
  <sheetData>
    <row r="1" spans="1:5" ht="18.75">
      <c r="A1" s="14" t="s">
        <v>175</v>
      </c>
      <c r="B1" s="124" t="s">
        <v>35</v>
      </c>
      <c r="C1" s="278" t="s">
        <v>105</v>
      </c>
    </row>
    <row r="2" spans="1:5">
      <c r="D2" s="1" t="s">
        <v>111</v>
      </c>
    </row>
    <row r="3" spans="1:5">
      <c r="A3" t="s">
        <v>176</v>
      </c>
      <c r="B3" s="126">
        <v>0.91</v>
      </c>
      <c r="D3" t="s">
        <v>177</v>
      </c>
      <c r="E3" s="6" t="s">
        <v>178</v>
      </c>
    </row>
    <row r="4" spans="1:5">
      <c r="A4" t="s">
        <v>179</v>
      </c>
      <c r="B4" s="23">
        <f>B3/'Emission and Conversion Factors'!D56</f>
        <v>0.82553909517286439</v>
      </c>
    </row>
    <row r="5" spans="1:5">
      <c r="A5" t="s">
        <v>180</v>
      </c>
      <c r="B5" s="131">
        <v>108377</v>
      </c>
      <c r="D5" t="s">
        <v>181</v>
      </c>
      <c r="E5" s="6" t="s">
        <v>182</v>
      </c>
    </row>
    <row r="6" spans="1:5">
      <c r="A6" t="s">
        <v>183</v>
      </c>
      <c r="B6" s="45">
        <f>B4*B5</f>
        <v>89469.450517549529</v>
      </c>
    </row>
    <row r="8" spans="1:5">
      <c r="A8" s="1" t="s">
        <v>184</v>
      </c>
      <c r="E8" s="6" t="s">
        <v>80</v>
      </c>
    </row>
    <row r="9" spans="1:5" s="115" customFormat="1">
      <c r="A9" s="208" t="s">
        <v>185</v>
      </c>
      <c r="B9" s="208" t="s">
        <v>186</v>
      </c>
    </row>
    <row r="10" spans="1:5">
      <c r="A10" t="s">
        <v>187</v>
      </c>
    </row>
    <row r="11" spans="1:5">
      <c r="D11" s="1" t="s">
        <v>188</v>
      </c>
    </row>
    <row r="12" spans="1:5">
      <c r="A12" t="s">
        <v>189</v>
      </c>
      <c r="B12" s="45">
        <f>B6</f>
        <v>89469.450517549529</v>
      </c>
    </row>
    <row r="13" spans="1:5">
      <c r="A13" t="s">
        <v>190</v>
      </c>
      <c r="B13">
        <f>B27</f>
        <v>6.5428E-2</v>
      </c>
      <c r="D13" t="s">
        <v>191</v>
      </c>
    </row>
    <row r="14" spans="1:5">
      <c r="A14" t="s">
        <v>192</v>
      </c>
      <c r="B14" s="126">
        <v>0.6</v>
      </c>
      <c r="D14" t="s">
        <v>193</v>
      </c>
    </row>
    <row r="15" spans="1:5">
      <c r="A15" t="s">
        <v>194</v>
      </c>
      <c r="B15" s="126">
        <v>0.1</v>
      </c>
      <c r="D15" t="s">
        <v>195</v>
      </c>
    </row>
    <row r="16" spans="1:5">
      <c r="A16" t="s">
        <v>196</v>
      </c>
      <c r="B16" s="45">
        <f>B12*B13*(1-B14)*(1-B15)</f>
        <v>2107.3705950464032</v>
      </c>
      <c r="C16" s="207"/>
    </row>
    <row r="18" spans="1:4">
      <c r="A18" t="s">
        <v>197</v>
      </c>
      <c r="B18" s="134">
        <f>B16*'Emission and Conversion Factors'!E33</f>
        <v>59006.376661299291</v>
      </c>
      <c r="C18" s="207"/>
    </row>
    <row r="20" spans="1:4" s="115" customFormat="1">
      <c r="A20" s="208" t="s">
        <v>198</v>
      </c>
      <c r="B20" s="208" t="s">
        <v>199</v>
      </c>
    </row>
    <row r="21" spans="1:4">
      <c r="A21" t="s">
        <v>200</v>
      </c>
    </row>
    <row r="22" spans="1:4">
      <c r="D22" s="1" t="s">
        <v>188</v>
      </c>
    </row>
    <row r="23" spans="1:4">
      <c r="A23" t="s">
        <v>201</v>
      </c>
      <c r="B23" s="126">
        <v>1</v>
      </c>
      <c r="D23" t="s">
        <v>202</v>
      </c>
    </row>
    <row r="24" spans="1:4">
      <c r="A24" t="s">
        <v>203</v>
      </c>
      <c r="B24">
        <f>B39</f>
        <v>0.16356999999999999</v>
      </c>
      <c r="D24" t="s">
        <v>204</v>
      </c>
    </row>
    <row r="25" spans="1:4">
      <c r="A25" t="s">
        <v>205</v>
      </c>
      <c r="B25" s="126">
        <v>0.6</v>
      </c>
      <c r="D25" t="s">
        <v>206</v>
      </c>
    </row>
    <row r="26" spans="1:4">
      <c r="A26" t="s">
        <v>207</v>
      </c>
      <c r="B26" s="126">
        <v>0.5</v>
      </c>
      <c r="D26" t="s">
        <v>208</v>
      </c>
    </row>
    <row r="27" spans="1:4">
      <c r="A27" t="s">
        <v>190</v>
      </c>
      <c r="B27" s="1">
        <f>B23*B24*B25*B26*16/12</f>
        <v>6.5428E-2</v>
      </c>
    </row>
    <row r="29" spans="1:4" s="115" customFormat="1">
      <c r="A29" s="208" t="s">
        <v>209</v>
      </c>
      <c r="B29" s="208" t="s">
        <v>210</v>
      </c>
    </row>
    <row r="30" spans="1:4">
      <c r="A30" t="s">
        <v>211</v>
      </c>
    </row>
    <row r="32" spans="1:4">
      <c r="A32" s="8" t="s">
        <v>212</v>
      </c>
      <c r="B32" s="37" t="s">
        <v>213</v>
      </c>
    </row>
    <row r="33" spans="1:7">
      <c r="A33" t="s">
        <v>214</v>
      </c>
      <c r="B33" s="220">
        <f>G38</f>
        <v>0.186</v>
      </c>
      <c r="D33" s="29" t="s">
        <v>215</v>
      </c>
      <c r="E33" s="1"/>
      <c r="F33" s="1"/>
    </row>
    <row r="34" spans="1:7">
      <c r="A34" t="s">
        <v>216</v>
      </c>
      <c r="B34" s="220">
        <f>G39</f>
        <v>7.0999999999999994E-2</v>
      </c>
      <c r="D34" s="59" t="s">
        <v>217</v>
      </c>
      <c r="E34" s="209">
        <v>6.0000000000000001E-3</v>
      </c>
      <c r="F34" s="289" t="s">
        <v>218</v>
      </c>
      <c r="G34" s="290">
        <v>0.20799999999999999</v>
      </c>
    </row>
    <row r="35" spans="1:7">
      <c r="A35" t="s">
        <v>219</v>
      </c>
      <c r="B35" s="220">
        <f>G34</f>
        <v>0.20799999999999999</v>
      </c>
      <c r="D35" s="59" t="s">
        <v>220</v>
      </c>
      <c r="E35" s="209">
        <v>0.115</v>
      </c>
      <c r="F35" s="289"/>
      <c r="G35" s="290"/>
    </row>
    <row r="36" spans="1:7">
      <c r="A36" t="s">
        <v>221</v>
      </c>
      <c r="B36" s="220">
        <f>G42</f>
        <v>8.8999999999999996E-2</v>
      </c>
      <c r="D36" s="59" t="s">
        <v>222</v>
      </c>
      <c r="E36" s="209">
        <v>7.3999999999999996E-2</v>
      </c>
      <c r="F36" s="289"/>
      <c r="G36" s="290"/>
    </row>
    <row r="37" spans="1:7">
      <c r="A37" t="s">
        <v>223</v>
      </c>
      <c r="B37" s="126">
        <v>0</v>
      </c>
      <c r="D37" s="59" t="s">
        <v>224</v>
      </c>
      <c r="E37" s="209">
        <v>1.2999999999999999E-2</v>
      </c>
      <c r="F37" s="289"/>
      <c r="G37" s="290"/>
    </row>
    <row r="38" spans="1:7">
      <c r="A38" t="s">
        <v>225</v>
      </c>
      <c r="B38" s="126">
        <v>0</v>
      </c>
      <c r="D38" s="210" t="s">
        <v>226</v>
      </c>
      <c r="E38" s="211">
        <v>0.186</v>
      </c>
      <c r="F38" s="216" t="s">
        <v>227</v>
      </c>
      <c r="G38" s="217">
        <v>0.186</v>
      </c>
    </row>
    <row r="39" spans="1:7">
      <c r="A39" s="31" t="s">
        <v>203</v>
      </c>
      <c r="B39" s="1">
        <f>0.15*B33+0.2*B34+0.4*B35+0.43*B36</f>
        <v>0.16356999999999999</v>
      </c>
      <c r="D39" s="212" t="s">
        <v>228</v>
      </c>
      <c r="E39" s="213">
        <v>3.5000000000000003E-2</v>
      </c>
      <c r="F39" s="291" t="s">
        <v>229</v>
      </c>
      <c r="G39" s="292">
        <v>7.0999999999999994E-2</v>
      </c>
    </row>
    <row r="40" spans="1:7">
      <c r="D40" s="212" t="s">
        <v>230</v>
      </c>
      <c r="E40" s="213">
        <v>1.7999999999999999E-2</v>
      </c>
      <c r="F40" s="291"/>
      <c r="G40" s="292"/>
    </row>
    <row r="41" spans="1:7">
      <c r="D41" s="212" t="s">
        <v>231</v>
      </c>
      <c r="E41" s="213">
        <v>1.7999999999999999E-2</v>
      </c>
      <c r="F41" s="291"/>
      <c r="G41" s="292"/>
    </row>
    <row r="42" spans="1:7">
      <c r="D42" s="214" t="s">
        <v>232</v>
      </c>
      <c r="E42" s="215">
        <v>8.8999999999999996E-2</v>
      </c>
      <c r="F42" s="218" t="s">
        <v>233</v>
      </c>
      <c r="G42" s="219">
        <v>8.8999999999999996E-2</v>
      </c>
    </row>
  </sheetData>
  <mergeCells count="4">
    <mergeCell ref="F34:F37"/>
    <mergeCell ref="G34:G37"/>
    <mergeCell ref="F39:F41"/>
    <mergeCell ref="G39:G41"/>
  </mergeCells>
  <hyperlinks>
    <hyperlink ref="E5" r:id="rId1" xr:uid="{33121522-35F2-468E-8A12-64B6EF52B404}"/>
    <hyperlink ref="E3" r:id="rId2" xr:uid="{B27B9DCA-3152-43EA-A71B-5503C2D6C673}"/>
    <hyperlink ref="E8" r:id="rId3" xr:uid="{E70FCEFA-C779-4D3E-974C-343AAE5D7A0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E3CDD-22CF-4037-BF71-BC30DF9B0428}">
  <dimension ref="A1:V32"/>
  <sheetViews>
    <sheetView workbookViewId="0">
      <selection activeCell="C2" sqref="C2:E2"/>
    </sheetView>
  </sheetViews>
  <sheetFormatPr defaultRowHeight="15"/>
  <cols>
    <col min="1" max="1" width="14" customWidth="1"/>
    <col min="2" max="2" width="11.5703125" customWidth="1"/>
    <col min="3" max="3" width="14.85546875" customWidth="1"/>
    <col min="4" max="4" width="13.28515625" customWidth="1"/>
    <col min="5" max="5" width="12.42578125" customWidth="1"/>
    <col min="6" max="6" width="3.5703125" customWidth="1"/>
    <col min="7" max="7" width="12.140625" customWidth="1"/>
    <col min="8" max="8" width="15.7109375" customWidth="1"/>
    <col min="9" max="9" width="12.5703125" customWidth="1"/>
    <col min="10" max="11" width="14.85546875" customWidth="1"/>
    <col min="12" max="12" width="12.85546875" customWidth="1"/>
    <col min="13" max="13" width="14.42578125" customWidth="1"/>
    <col min="14" max="14" width="3.85546875" customWidth="1"/>
    <col min="15" max="15" width="16.140625" customWidth="1"/>
    <col min="16" max="16" width="12.5703125" customWidth="1"/>
    <col min="17" max="17" width="13.140625" customWidth="1"/>
    <col min="18" max="18" width="14.5703125" customWidth="1"/>
    <col min="19" max="19" width="3.85546875" customWidth="1"/>
    <col min="20" max="20" width="14.28515625" customWidth="1"/>
    <col min="21" max="21" width="14.7109375" customWidth="1"/>
    <col min="22" max="22" width="14.140625" customWidth="1"/>
  </cols>
  <sheetData>
    <row r="1" spans="1:22" ht="18.75">
      <c r="A1" s="14" t="s">
        <v>234</v>
      </c>
      <c r="C1" s="124" t="s">
        <v>35</v>
      </c>
      <c r="D1" s="278" t="s">
        <v>105</v>
      </c>
    </row>
    <row r="2" spans="1:22">
      <c r="A2" s="197"/>
      <c r="B2" s="197"/>
      <c r="C2" s="293"/>
      <c r="D2" s="293"/>
      <c r="E2" s="293"/>
      <c r="H2" s="10"/>
      <c r="I2" s="10"/>
      <c r="J2" s="10"/>
      <c r="K2" s="10"/>
      <c r="L2" s="10"/>
      <c r="M2" s="10"/>
    </row>
    <row r="3" spans="1:22" ht="44.25" customHeight="1">
      <c r="A3" s="197"/>
      <c r="B3" s="197"/>
      <c r="C3" s="294" t="s">
        <v>235</v>
      </c>
      <c r="D3" s="294"/>
      <c r="E3" s="294"/>
      <c r="G3" s="295" t="s">
        <v>236</v>
      </c>
      <c r="H3" s="295"/>
      <c r="I3" s="295"/>
      <c r="J3" s="295"/>
      <c r="K3" s="295"/>
      <c r="L3" s="295"/>
      <c r="M3" s="295"/>
      <c r="O3" s="296" t="s">
        <v>237</v>
      </c>
      <c r="P3" s="296"/>
      <c r="Q3" s="296"/>
      <c r="R3" s="296"/>
      <c r="T3" s="296" t="s">
        <v>238</v>
      </c>
      <c r="U3" s="296"/>
      <c r="V3" s="296"/>
    </row>
    <row r="4" spans="1:22" ht="92.25" customHeight="1">
      <c r="A4" s="201" t="s">
        <v>239</v>
      </c>
      <c r="B4" s="202" t="s">
        <v>240</v>
      </c>
      <c r="C4" s="190" t="s">
        <v>241</v>
      </c>
      <c r="D4" s="187" t="s">
        <v>242</v>
      </c>
      <c r="E4" s="276" t="s">
        <v>243</v>
      </c>
      <c r="F4" s="8"/>
      <c r="G4" s="9" t="s">
        <v>244</v>
      </c>
      <c r="H4" s="9" t="s">
        <v>245</v>
      </c>
      <c r="I4" s="9" t="s">
        <v>246</v>
      </c>
      <c r="J4" s="9" t="s">
        <v>247</v>
      </c>
      <c r="K4" s="9" t="s">
        <v>248</v>
      </c>
      <c r="L4" s="9" t="s">
        <v>249</v>
      </c>
      <c r="M4" s="276" t="s">
        <v>250</v>
      </c>
      <c r="N4" s="8"/>
      <c r="O4" s="9" t="s">
        <v>251</v>
      </c>
      <c r="P4" s="9" t="s">
        <v>252</v>
      </c>
      <c r="Q4" s="9" t="s">
        <v>253</v>
      </c>
      <c r="R4" s="276" t="s">
        <v>254</v>
      </c>
      <c r="S4" s="8"/>
      <c r="T4" s="9" t="s">
        <v>255</v>
      </c>
      <c r="U4" s="9" t="s">
        <v>256</v>
      </c>
      <c r="V4" s="276" t="s">
        <v>257</v>
      </c>
    </row>
    <row r="5" spans="1:22">
      <c r="A5" s="197" t="s">
        <v>258</v>
      </c>
      <c r="B5" s="140">
        <v>21644</v>
      </c>
      <c r="C5" s="131">
        <v>94</v>
      </c>
      <c r="D5" s="7">
        <f>B5*C5</f>
        <v>2034536</v>
      </c>
      <c r="E5" s="134">
        <f>D5*'Emission and Conversion Factors'!$E$33/1000</f>
        <v>56967.008000000002</v>
      </c>
      <c r="G5" s="124">
        <v>404</v>
      </c>
      <c r="H5" s="206">
        <f>1026*(1000/400)/365.25</f>
        <v>7.0225872689938402</v>
      </c>
      <c r="I5" s="205">
        <v>1</v>
      </c>
      <c r="J5" s="45">
        <f>B5*(G5/1000)*H5*I5*365.25</f>
        <v>22428811.440000005</v>
      </c>
      <c r="K5" s="126">
        <v>0.33</v>
      </c>
      <c r="L5" s="126">
        <v>1.4999999999999999E-2</v>
      </c>
      <c r="M5" s="134">
        <f>J5*K5*L5*0.662/1000*'Emission and Conversion Factors'!$E$33</f>
        <v>2057.9152218166087</v>
      </c>
      <c r="O5" s="129">
        <f>54.33*(1000/400)/365.25</f>
        <v>0.3718685831622176</v>
      </c>
      <c r="P5" s="45">
        <f>B5*I5*G5/1000*O5*365.25</f>
        <v>1187677.7051999997</v>
      </c>
      <c r="Q5" s="126">
        <v>0.02</v>
      </c>
      <c r="R5" s="134">
        <f>P5*Q5*(44/28)/1000*'Emission and Conversion Factors'!$F$33</f>
        <v>9891.6586018799971</v>
      </c>
      <c r="T5" s="126">
        <v>0</v>
      </c>
      <c r="U5" s="126">
        <v>0</v>
      </c>
      <c r="V5" s="134">
        <v>0</v>
      </c>
    </row>
    <row r="6" spans="1:22">
      <c r="A6" s="197" t="s">
        <v>259</v>
      </c>
      <c r="B6" s="131">
        <f>1980+96</f>
        <v>2076</v>
      </c>
      <c r="C6" s="131">
        <v>18</v>
      </c>
      <c r="D6" s="7">
        <f t="shared" ref="D6:D10" si="0">B6*C6</f>
        <v>37368</v>
      </c>
      <c r="E6" s="134">
        <f>D6*'Emission and Conversion Factors'!$E$33/1000</f>
        <v>1046.3040000000001</v>
      </c>
      <c r="G6" s="124">
        <v>450</v>
      </c>
      <c r="H6" s="126">
        <v>6.1</v>
      </c>
      <c r="I6" s="205">
        <v>1</v>
      </c>
      <c r="J6" s="45">
        <f t="shared" ref="J6:J10" si="1">B6*(G6/1000)*H6*I6*365.25</f>
        <v>2081420.9550000001</v>
      </c>
      <c r="K6" s="126">
        <v>0.33</v>
      </c>
      <c r="L6" s="126">
        <v>1.4999999999999999E-2</v>
      </c>
      <c r="M6" s="134">
        <f>J6*K6*L6*0.662/1000*'Emission and Conversion Factors'!$E$33</f>
        <v>190.97703316830601</v>
      </c>
      <c r="O6" s="126">
        <v>0.245</v>
      </c>
      <c r="P6" s="45">
        <f t="shared" ref="P6:P10" si="2">B6*I6*G6/1000*O6*365.25</f>
        <v>83598.05475000001</v>
      </c>
      <c r="Q6" s="126">
        <v>0.02</v>
      </c>
      <c r="R6" s="134">
        <f>P6*Q6*(44/28)/1000*'Emission and Conversion Factors'!$F$33</f>
        <v>696.25237027500009</v>
      </c>
      <c r="T6" s="126">
        <v>0</v>
      </c>
      <c r="U6" s="126">
        <v>0</v>
      </c>
      <c r="V6" s="134">
        <v>0</v>
      </c>
    </row>
    <row r="7" spans="1:22">
      <c r="A7" s="197" t="s">
        <v>260</v>
      </c>
      <c r="B7" s="131">
        <v>1954</v>
      </c>
      <c r="C7" s="131">
        <v>8</v>
      </c>
      <c r="D7" s="7">
        <f t="shared" si="0"/>
        <v>15632</v>
      </c>
      <c r="E7" s="134">
        <f>D7*'Emission and Conversion Factors'!$E$33/1000</f>
        <v>437.69600000000003</v>
      </c>
      <c r="G7" s="124">
        <v>80</v>
      </c>
      <c r="H7" s="126">
        <v>8.3000000000000007</v>
      </c>
      <c r="I7" s="205">
        <v>1</v>
      </c>
      <c r="J7" s="45">
        <f t="shared" si="1"/>
        <v>473895.80400000006</v>
      </c>
      <c r="K7" s="126">
        <v>0.19</v>
      </c>
      <c r="L7" s="126">
        <v>1.4999999999999999E-2</v>
      </c>
      <c r="M7" s="134">
        <f>J7*K7*L7*0.662/1000*'Emission and Conversion Factors'!$E$33</f>
        <v>25.034777975390401</v>
      </c>
      <c r="O7" s="126">
        <v>0.45</v>
      </c>
      <c r="P7" s="45">
        <f t="shared" si="2"/>
        <v>25693.145999999997</v>
      </c>
      <c r="Q7" s="126">
        <v>0.02</v>
      </c>
      <c r="R7" s="134">
        <f>P7*Q7*(44/28)/1000*'Emission and Conversion Factors'!$F$33</f>
        <v>213.98720168571424</v>
      </c>
      <c r="T7" s="126">
        <v>0</v>
      </c>
      <c r="U7" s="126">
        <v>0</v>
      </c>
      <c r="V7" s="134">
        <v>0</v>
      </c>
    </row>
    <row r="8" spans="1:22">
      <c r="A8" s="197" t="s">
        <v>261</v>
      </c>
      <c r="B8" s="131">
        <v>673</v>
      </c>
      <c r="C8" s="131">
        <v>5</v>
      </c>
      <c r="D8" s="7">
        <f t="shared" si="0"/>
        <v>3365</v>
      </c>
      <c r="E8" s="134">
        <f>D8*'Emission and Conversion Factors'!$E$33/1000</f>
        <v>94.22</v>
      </c>
      <c r="G8" s="124">
        <v>64</v>
      </c>
      <c r="H8" s="126">
        <v>9.5</v>
      </c>
      <c r="I8" s="205">
        <v>1</v>
      </c>
      <c r="J8" s="45">
        <f t="shared" si="1"/>
        <v>149454.45600000001</v>
      </c>
      <c r="K8" s="126">
        <v>0.17</v>
      </c>
      <c r="L8" s="126">
        <v>1.4999999999999999E-2</v>
      </c>
      <c r="M8" s="134">
        <f>J8*K8*L8*0.662/1000*'Emission and Conversion Factors'!$E$33</f>
        <v>7.064233880860801</v>
      </c>
      <c r="O8" s="126">
        <v>0.45</v>
      </c>
      <c r="P8" s="45">
        <f t="shared" si="2"/>
        <v>7079.4216000000006</v>
      </c>
      <c r="Q8" s="126">
        <v>0.02</v>
      </c>
      <c r="R8" s="134">
        <f>P8*Q8*(44/28)/1000*'Emission and Conversion Factors'!$F$33</f>
        <v>58.961468468571425</v>
      </c>
      <c r="T8" s="126">
        <v>0</v>
      </c>
      <c r="U8" s="126">
        <v>0</v>
      </c>
      <c r="V8" s="134">
        <v>0</v>
      </c>
    </row>
    <row r="9" spans="1:22">
      <c r="A9" s="197" t="s">
        <v>262</v>
      </c>
      <c r="B9" s="131">
        <v>224</v>
      </c>
      <c r="C9" s="131">
        <v>1.5</v>
      </c>
      <c r="D9" s="7">
        <f t="shared" si="0"/>
        <v>336</v>
      </c>
      <c r="E9" s="134">
        <f>D9*'Emission and Conversion Factors'!$E$33/1000</f>
        <v>9.4079999999999995</v>
      </c>
      <c r="G9" s="124">
        <v>91</v>
      </c>
      <c r="H9" s="126">
        <v>5.4</v>
      </c>
      <c r="I9" s="205">
        <v>1</v>
      </c>
      <c r="J9" s="45">
        <f t="shared" si="1"/>
        <v>40204.382400000002</v>
      </c>
      <c r="K9" s="126">
        <v>0.48</v>
      </c>
      <c r="L9" s="221">
        <v>0.49759999999999999</v>
      </c>
      <c r="M9" s="134">
        <f>J9*K9*L9*0.662/1000*'Emission and Conversion Factors'!$E$33</f>
        <v>177.99632056608033</v>
      </c>
      <c r="O9" s="126">
        <v>0.54</v>
      </c>
      <c r="P9" s="45">
        <f t="shared" si="2"/>
        <v>4020.43824</v>
      </c>
      <c r="Q9" s="126">
        <v>1E-3</v>
      </c>
      <c r="R9" s="134">
        <f>P9*Q9*(44/28)/1000*'Emission and Conversion Factors'!$F$33</f>
        <v>1.6742253527999997</v>
      </c>
      <c r="T9" s="222">
        <v>0.42399999999999999</v>
      </c>
      <c r="U9" s="220">
        <v>3.8999999999999998E-3</v>
      </c>
      <c r="V9" s="134">
        <f>P9*T9*0.01*44/28+P9*U9*0.0075*44/28*'Emission and Conversion Factors'!F33/1000</f>
        <v>26.836576736369402</v>
      </c>
    </row>
    <row r="10" spans="1:22">
      <c r="A10" s="197" t="s">
        <v>263</v>
      </c>
      <c r="B10" s="131">
        <v>5911</v>
      </c>
      <c r="C10" s="197"/>
      <c r="D10" s="7">
        <f t="shared" si="0"/>
        <v>0</v>
      </c>
      <c r="E10" s="136">
        <f>D10*'Emission and Conversion Factors'!$E$33/1000</f>
        <v>0</v>
      </c>
      <c r="G10" s="124">
        <v>1.8</v>
      </c>
      <c r="H10" s="126">
        <v>11</v>
      </c>
      <c r="I10" s="205">
        <v>1</v>
      </c>
      <c r="J10" s="45">
        <f t="shared" si="1"/>
        <v>42748.056449999996</v>
      </c>
      <c r="K10" s="126">
        <v>0.39</v>
      </c>
      <c r="L10" s="126">
        <v>1.4999999999999999E-2</v>
      </c>
      <c r="M10" s="136">
        <f>J10*K10*L10*0.662/1000*'Emission and Conversion Factors'!$E$33</f>
        <v>4.6354111499896202</v>
      </c>
      <c r="O10" s="126">
        <v>1.1000000000000001</v>
      </c>
      <c r="P10" s="45">
        <f t="shared" si="2"/>
        <v>4274.8056450000004</v>
      </c>
      <c r="Q10" s="126">
        <v>0.02</v>
      </c>
      <c r="R10" s="158">
        <f>P10*Q10*(44/28)/1000*'Emission and Conversion Factors'!$F$33</f>
        <v>35.603024157642857</v>
      </c>
      <c r="T10" s="126">
        <v>0</v>
      </c>
      <c r="U10" s="126">
        <v>0</v>
      </c>
      <c r="V10" s="136">
        <v>0</v>
      </c>
    </row>
    <row r="11" spans="1:22">
      <c r="B11" s="198" t="s">
        <v>264</v>
      </c>
      <c r="C11" s="198" t="s">
        <v>264</v>
      </c>
      <c r="D11" s="198"/>
      <c r="E11" s="135">
        <f>SUM(E5:E10)</f>
        <v>58554.636000000013</v>
      </c>
      <c r="M11" s="135">
        <f>SUM(M5:M10)</f>
        <v>2463.6229985572359</v>
      </c>
      <c r="R11" s="135">
        <f>SUM(R5:R10)</f>
        <v>10898.136891819724</v>
      </c>
      <c r="V11" s="135">
        <f>SUM(V5:V10)</f>
        <v>26.836576736369402</v>
      </c>
    </row>
    <row r="12" spans="1:22">
      <c r="J12" s="45"/>
    </row>
    <row r="13" spans="1:22">
      <c r="A13" s="204" t="s">
        <v>265</v>
      </c>
      <c r="B13" s="134">
        <f>E11+M11+R11+V11</f>
        <v>71943.232467113339</v>
      </c>
      <c r="C13" s="45"/>
      <c r="L13" s="37"/>
      <c r="M13" s="37"/>
      <c r="Q13" s="37"/>
      <c r="R13" s="37"/>
    </row>
    <row r="15" spans="1:22">
      <c r="B15" s="8" t="s">
        <v>266</v>
      </c>
      <c r="C15" s="8" t="s">
        <v>267</v>
      </c>
      <c r="D15" s="8"/>
      <c r="E15" s="8"/>
      <c r="F15" s="8"/>
      <c r="G15" s="8"/>
      <c r="H15" s="8" t="s">
        <v>268</v>
      </c>
    </row>
    <row r="16" spans="1:22">
      <c r="B16" s="10">
        <v>1</v>
      </c>
      <c r="C16" t="s">
        <v>269</v>
      </c>
      <c r="H16" s="6" t="s">
        <v>270</v>
      </c>
    </row>
    <row r="17" spans="2:8">
      <c r="B17" s="10"/>
    </row>
    <row r="18" spans="2:8">
      <c r="B18" s="10"/>
      <c r="C18" s="203" t="s">
        <v>271</v>
      </c>
    </row>
    <row r="19" spans="2:8">
      <c r="B19" s="10"/>
      <c r="H19" s="6" t="s">
        <v>272</v>
      </c>
    </row>
    <row r="20" spans="2:8">
      <c r="B20" s="10">
        <v>2</v>
      </c>
      <c r="C20" s="48" t="s">
        <v>273</v>
      </c>
    </row>
    <row r="21" spans="2:8">
      <c r="B21" s="10">
        <v>3</v>
      </c>
      <c r="C21" s="48" t="s">
        <v>274</v>
      </c>
    </row>
    <row r="22" spans="2:8">
      <c r="B22" s="10">
        <v>4</v>
      </c>
      <c r="C22" s="48" t="s">
        <v>275</v>
      </c>
    </row>
    <row r="23" spans="2:8">
      <c r="B23" s="10">
        <v>5</v>
      </c>
      <c r="C23" s="48" t="s">
        <v>276</v>
      </c>
    </row>
    <row r="24" spans="2:8">
      <c r="B24" s="10">
        <v>6</v>
      </c>
      <c r="C24" s="48" t="s">
        <v>277</v>
      </c>
    </row>
    <row r="25" spans="2:8">
      <c r="B25" s="10">
        <v>7</v>
      </c>
      <c r="C25" s="48" t="s">
        <v>277</v>
      </c>
    </row>
    <row r="26" spans="2:8">
      <c r="B26" s="10">
        <v>8</v>
      </c>
      <c r="C26" s="48" t="s">
        <v>278</v>
      </c>
    </row>
    <row r="27" spans="2:8">
      <c r="B27" s="10">
        <v>9</v>
      </c>
      <c r="C27" s="48" t="s">
        <v>279</v>
      </c>
    </row>
    <row r="28" spans="2:8">
      <c r="B28" s="10">
        <v>10</v>
      </c>
      <c r="C28" s="48" t="s">
        <v>280</v>
      </c>
    </row>
    <row r="29" spans="2:8">
      <c r="B29" s="10">
        <v>11</v>
      </c>
      <c r="C29" s="48" t="s">
        <v>281</v>
      </c>
    </row>
    <row r="30" spans="2:8">
      <c r="B30" s="10">
        <v>12</v>
      </c>
      <c r="C30" s="48" t="s">
        <v>282</v>
      </c>
    </row>
    <row r="31" spans="2:8">
      <c r="B31" s="10">
        <v>13</v>
      </c>
      <c r="C31" s="48" t="s">
        <v>283</v>
      </c>
    </row>
    <row r="32" spans="2:8">
      <c r="B32" s="10">
        <v>14</v>
      </c>
      <c r="C32" s="48" t="s">
        <v>284</v>
      </c>
    </row>
  </sheetData>
  <mergeCells count="5">
    <mergeCell ref="C2:E2"/>
    <mergeCell ref="C3:E3"/>
    <mergeCell ref="G3:M3"/>
    <mergeCell ref="O3:R3"/>
    <mergeCell ref="T3:V3"/>
  </mergeCells>
  <hyperlinks>
    <hyperlink ref="H16" r:id="rId1" xr:uid="{2E860BF6-AFA3-47AE-AA98-D9F1D71A2F18}"/>
    <hyperlink ref="H19" r:id="rId2" display="https://albemarlecountyva.sharepoint.com/:b:/r/sites/accpp/GHG%20Emissions/Community%20Emissions/ICLEI%20Community%20Protocol%20Version1.2/Appendix%20G%20-%20Agricultural%20Livestock%20Emission%20Activities%20and%20Sources%20-%20U.S.%20Community%20Protocol.pdf?csf=1&amp;web=1&amp;e=0GbtAj" xr:uid="{9705BCCE-26F9-4008-894F-D053CBB78A20}"/>
  </hyperlinks>
  <pageMargins left="0.7" right="0.7" top="0.75" bottom="0.75" header="0.3" footer="0.3"/>
  <pageSetup orientation="portrait" verticalDpi="0"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41EA3-48B1-4160-AA5A-DD8EFE066602}">
  <dimension ref="A1:G30"/>
  <sheetViews>
    <sheetView workbookViewId="0">
      <selection activeCell="C3" sqref="C3"/>
    </sheetView>
  </sheetViews>
  <sheetFormatPr defaultRowHeight="15"/>
  <cols>
    <col min="2" max="5" width="12.7109375" customWidth="1"/>
    <col min="6" max="6" width="63" bestFit="1" customWidth="1"/>
    <col min="7" max="7" width="145.140625" bestFit="1" customWidth="1"/>
  </cols>
  <sheetData>
    <row r="1" spans="1:7" ht="18.75">
      <c r="A1" s="14" t="s">
        <v>285</v>
      </c>
    </row>
    <row r="2" spans="1:7">
      <c r="C2" s="124" t="s">
        <v>35</v>
      </c>
      <c r="D2" s="278" t="s">
        <v>105</v>
      </c>
    </row>
    <row r="3" spans="1:7">
      <c r="F3" s="17" t="s">
        <v>44</v>
      </c>
      <c r="G3" s="17"/>
    </row>
    <row r="4" spans="1:7">
      <c r="A4" s="1" t="s">
        <v>286</v>
      </c>
    </row>
    <row r="6" spans="1:7" ht="30">
      <c r="A6" s="76" t="s">
        <v>287</v>
      </c>
      <c r="B6" s="8"/>
      <c r="C6" s="15" t="s">
        <v>288</v>
      </c>
      <c r="D6" s="50" t="s">
        <v>130</v>
      </c>
    </row>
    <row r="7" spans="1:7">
      <c r="A7" s="48" t="s">
        <v>289</v>
      </c>
      <c r="C7" s="45">
        <f>'Gov Building Detail'!F67</f>
        <v>26392689</v>
      </c>
      <c r="D7" s="134">
        <f>C7*'Emission and Conversion Factors'!G8/1000000</f>
        <v>8892.9841276573752</v>
      </c>
    </row>
    <row r="8" spans="1:7">
      <c r="A8" s="48" t="s">
        <v>290</v>
      </c>
      <c r="C8" s="45">
        <f>'Gov Building Detail'!H67</f>
        <v>31707352</v>
      </c>
      <c r="D8" s="134">
        <f>C8*'Emission and Conversion Factors'!G10/1000</f>
        <v>1727.9029277396801</v>
      </c>
    </row>
    <row r="9" spans="1:7">
      <c r="A9" s="48" t="s">
        <v>291</v>
      </c>
      <c r="C9" s="45">
        <f>'Gov Building Detail'!J67</f>
        <v>115464</v>
      </c>
      <c r="D9" s="134">
        <f>C9*'Emission and Conversion Factors'!G11/1000</f>
        <v>1182.6931334400003</v>
      </c>
    </row>
    <row r="10" spans="1:7">
      <c r="A10" s="48" t="s">
        <v>292</v>
      </c>
      <c r="C10" s="45">
        <f>'Gov Building Detail'!L67</f>
        <v>10571</v>
      </c>
      <c r="D10" s="136">
        <f>C10*'Emission and Conversion Factors'!G12/1000</f>
        <v>60.686102509999998</v>
      </c>
    </row>
    <row r="11" spans="1:7">
      <c r="D11" s="135">
        <f>SUM(D7:D10)</f>
        <v>11864.266291347056</v>
      </c>
    </row>
    <row r="13" spans="1:7">
      <c r="A13" s="1" t="s">
        <v>293</v>
      </c>
    </row>
    <row r="14" spans="1:7">
      <c r="A14" s="1"/>
    </row>
    <row r="15" spans="1:7" ht="30">
      <c r="B15" s="36" t="s">
        <v>294</v>
      </c>
      <c r="C15" s="36" t="s">
        <v>295</v>
      </c>
      <c r="D15" s="50" t="s">
        <v>130</v>
      </c>
      <c r="E15" s="44"/>
    </row>
    <row r="16" spans="1:7">
      <c r="B16" s="48" t="s">
        <v>296</v>
      </c>
      <c r="C16" s="131">
        <v>425610</v>
      </c>
      <c r="D16" s="134">
        <f>C16*'Emission and Conversion Factors'!D17/1000</f>
        <v>3736.8557999999998</v>
      </c>
      <c r="F16" t="s">
        <v>297</v>
      </c>
    </row>
    <row r="17" spans="1:7" ht="16.5" customHeight="1">
      <c r="B17" s="48" t="s">
        <v>298</v>
      </c>
      <c r="C17" s="131">
        <f>378977+29092</f>
        <v>408069</v>
      </c>
      <c r="D17" s="158">
        <f>C17*'Emission and Conversion Factors'!D18/1000</f>
        <v>4166.3844900000004</v>
      </c>
      <c r="F17" s="232" t="s">
        <v>299</v>
      </c>
    </row>
    <row r="18" spans="1:7">
      <c r="D18" s="135">
        <f>SUM(D16:D17)</f>
        <v>7903.2402899999997</v>
      </c>
    </row>
    <row r="20" spans="1:7">
      <c r="A20" s="1" t="s">
        <v>300</v>
      </c>
    </row>
    <row r="22" spans="1:7" ht="30">
      <c r="C22" s="9" t="s">
        <v>301</v>
      </c>
      <c r="D22" s="50" t="s">
        <v>130</v>
      </c>
    </row>
    <row r="23" spans="1:7">
      <c r="B23" t="s">
        <v>302</v>
      </c>
      <c r="C23" s="194">
        <v>19704315</v>
      </c>
      <c r="D23" s="134">
        <f>C23*'Emission and Conversion Factors'!$G$20/1000</f>
        <v>6647.6841601799997</v>
      </c>
      <c r="F23" t="s">
        <v>303</v>
      </c>
      <c r="G23" s="6"/>
    </row>
    <row r="24" spans="1:7">
      <c r="B24" t="s">
        <v>304</v>
      </c>
      <c r="C24" s="45">
        <v>18148809.076173343</v>
      </c>
      <c r="D24" s="134">
        <f>C24*'Emission and Conversion Factors'!$G$20/1000</f>
        <v>6122.9000156467528</v>
      </c>
      <c r="G24" s="6"/>
    </row>
    <row r="25" spans="1:7">
      <c r="C25" s="195"/>
      <c r="D25" s="196"/>
      <c r="G25" s="6"/>
    </row>
    <row r="26" spans="1:7">
      <c r="C26" s="45"/>
    </row>
    <row r="27" spans="1:7">
      <c r="A27" s="1" t="s">
        <v>305</v>
      </c>
    </row>
    <row r="28" spans="1:7">
      <c r="B28" s="31"/>
    </row>
    <row r="29" spans="1:7" ht="30">
      <c r="C29" s="9" t="s">
        <v>306</v>
      </c>
      <c r="D29" s="50" t="s">
        <v>130</v>
      </c>
      <c r="E29" s="51"/>
    </row>
    <row r="30" spans="1:7">
      <c r="C30" s="131">
        <v>621765</v>
      </c>
      <c r="D30" s="134">
        <f>C30*'Emission and Conversion Factors'!G8/1000000</f>
        <v>209.50295273561886</v>
      </c>
      <c r="F30" s="49" t="s">
        <v>307</v>
      </c>
      <c r="G30" s="248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8874A-E73C-4889-BF3E-1C96307A2101}">
  <dimension ref="A1:G37"/>
  <sheetViews>
    <sheetView workbookViewId="0">
      <selection activeCell="F24" sqref="F24"/>
    </sheetView>
  </sheetViews>
  <sheetFormatPr defaultRowHeight="15"/>
  <cols>
    <col min="1" max="1" width="16.7109375" customWidth="1"/>
    <col min="2" max="2" width="29.85546875" bestFit="1" customWidth="1"/>
    <col min="3" max="3" width="20.140625" bestFit="1" customWidth="1"/>
    <col min="4" max="4" width="20.28515625" bestFit="1" customWidth="1"/>
    <col min="6" max="6" width="45.7109375" customWidth="1"/>
  </cols>
  <sheetData>
    <row r="1" spans="1:7" ht="18.75">
      <c r="A1" s="14" t="s">
        <v>308</v>
      </c>
      <c r="D1" s="278" t="s">
        <v>309</v>
      </c>
    </row>
    <row r="2" spans="1:7" ht="48.75" customHeight="1">
      <c r="A2" s="299" t="s">
        <v>310</v>
      </c>
      <c r="B2" s="299"/>
      <c r="C2" s="299"/>
      <c r="D2" s="299"/>
    </row>
    <row r="4" spans="1:7" ht="33" customHeight="1">
      <c r="C4" s="298" t="s">
        <v>311</v>
      </c>
      <c r="D4" s="298"/>
      <c r="F4" s="1" t="s">
        <v>44</v>
      </c>
      <c r="G4" s="1" t="s">
        <v>45</v>
      </c>
    </row>
    <row r="5" spans="1:7">
      <c r="A5" s="17" t="s">
        <v>312</v>
      </c>
      <c r="B5" s="17" t="s">
        <v>313</v>
      </c>
      <c r="C5" s="277" t="s">
        <v>314</v>
      </c>
      <c r="D5" s="277" t="s">
        <v>315</v>
      </c>
    </row>
    <row r="6" spans="1:7">
      <c r="C6" s="28"/>
      <c r="D6" s="28"/>
    </row>
    <row r="7" spans="1:7">
      <c r="A7" t="s">
        <v>316</v>
      </c>
      <c r="B7" t="s">
        <v>317</v>
      </c>
      <c r="C7" s="45">
        <v>-28067</v>
      </c>
      <c r="D7" s="45"/>
      <c r="F7" s="116" t="s">
        <v>318</v>
      </c>
      <c r="G7" s="282" t="s">
        <v>319</v>
      </c>
    </row>
    <row r="8" spans="1:7">
      <c r="A8" t="s">
        <v>316</v>
      </c>
      <c r="B8" t="s">
        <v>320</v>
      </c>
      <c r="C8" s="45"/>
      <c r="D8" s="45">
        <v>1703</v>
      </c>
    </row>
    <row r="9" spans="1:7">
      <c r="A9" t="s">
        <v>316</v>
      </c>
      <c r="B9" t="s">
        <v>321</v>
      </c>
      <c r="C9" s="45">
        <v>-1123</v>
      </c>
      <c r="D9" s="45"/>
      <c r="F9" s="6"/>
    </row>
    <row r="10" spans="1:7">
      <c r="A10" t="s">
        <v>316</v>
      </c>
      <c r="B10" t="s">
        <v>322</v>
      </c>
      <c r="C10" s="45"/>
      <c r="D10" s="45">
        <v>4842</v>
      </c>
      <c r="F10" s="6"/>
    </row>
    <row r="11" spans="1:7">
      <c r="A11" t="s">
        <v>316</v>
      </c>
      <c r="B11" t="s">
        <v>323</v>
      </c>
      <c r="C11" s="45"/>
      <c r="D11" s="45">
        <v>3482</v>
      </c>
      <c r="F11" s="6"/>
    </row>
    <row r="12" spans="1:7">
      <c r="A12" t="s">
        <v>316</v>
      </c>
      <c r="B12" t="s">
        <v>324</v>
      </c>
      <c r="C12" s="45"/>
      <c r="D12" s="45">
        <v>25</v>
      </c>
      <c r="F12" s="6"/>
    </row>
    <row r="13" spans="1:7">
      <c r="A13" t="s">
        <v>316</v>
      </c>
      <c r="B13" t="s">
        <v>325</v>
      </c>
      <c r="C13" s="45">
        <v>-7219.92</v>
      </c>
      <c r="D13" s="45">
        <v>2755.3679999999999</v>
      </c>
      <c r="F13" t="s">
        <v>326</v>
      </c>
      <c r="G13" s="6" t="s">
        <v>327</v>
      </c>
    </row>
    <row r="14" spans="1:7">
      <c r="A14" t="s">
        <v>316</v>
      </c>
      <c r="B14" t="s">
        <v>328</v>
      </c>
      <c r="C14" s="45">
        <v>0</v>
      </c>
      <c r="F14" s="6"/>
    </row>
    <row r="15" spans="1:7">
      <c r="C15" s="45"/>
      <c r="D15" s="45"/>
    </row>
    <row r="16" spans="1:7">
      <c r="A16" t="s">
        <v>329</v>
      </c>
      <c r="B16" t="s">
        <v>317</v>
      </c>
      <c r="C16" s="45">
        <v>-866914</v>
      </c>
      <c r="D16" s="45"/>
      <c r="F16" s="116" t="s">
        <v>318</v>
      </c>
      <c r="G16" s="282" t="s">
        <v>330</v>
      </c>
    </row>
    <row r="17" spans="1:7">
      <c r="A17" t="s">
        <v>329</v>
      </c>
      <c r="B17" t="s">
        <v>320</v>
      </c>
      <c r="C17" s="45"/>
      <c r="D17" s="45">
        <v>62994</v>
      </c>
    </row>
    <row r="18" spans="1:7">
      <c r="A18" t="s">
        <v>329</v>
      </c>
      <c r="B18" t="s">
        <v>321</v>
      </c>
      <c r="C18" s="45">
        <v>-23484</v>
      </c>
      <c r="D18" s="45"/>
    </row>
    <row r="19" spans="1:7">
      <c r="A19" t="s">
        <v>329</v>
      </c>
      <c r="B19" t="s">
        <v>322</v>
      </c>
      <c r="C19" s="45"/>
      <c r="D19" s="45">
        <v>943</v>
      </c>
    </row>
    <row r="20" spans="1:7">
      <c r="A20" t="s">
        <v>329</v>
      </c>
      <c r="B20" t="s">
        <v>323</v>
      </c>
      <c r="C20" s="45"/>
      <c r="D20" s="45">
        <v>86416</v>
      </c>
    </row>
    <row r="21" spans="1:7">
      <c r="A21" t="s">
        <v>329</v>
      </c>
      <c r="B21" t="s">
        <v>324</v>
      </c>
      <c r="C21" s="45"/>
      <c r="D21" s="45"/>
    </row>
    <row r="22" spans="1:7">
      <c r="A22" t="s">
        <v>329</v>
      </c>
      <c r="B22" t="s">
        <v>325</v>
      </c>
      <c r="C22" s="45">
        <v>-133907</v>
      </c>
      <c r="D22" s="45">
        <v>5561</v>
      </c>
    </row>
    <row r="23" spans="1:7">
      <c r="A23" t="s">
        <v>329</v>
      </c>
      <c r="B23" t="s">
        <v>328</v>
      </c>
      <c r="C23" s="45">
        <v>-53738</v>
      </c>
      <c r="D23" s="45"/>
      <c r="F23" t="s">
        <v>331</v>
      </c>
      <c r="G23" s="6" t="s">
        <v>332</v>
      </c>
    </row>
    <row r="24" spans="1:7">
      <c r="A24" s="8"/>
      <c r="B24" s="8"/>
      <c r="C24" s="46"/>
      <c r="D24" s="46"/>
    </row>
    <row r="25" spans="1:7">
      <c r="C25" s="45"/>
      <c r="D25" s="45"/>
    </row>
    <row r="26" spans="1:7">
      <c r="A26" s="1" t="s">
        <v>333</v>
      </c>
      <c r="B26" s="1" t="s">
        <v>317</v>
      </c>
      <c r="C26" s="200">
        <f t="shared" ref="C26:D33" si="0">SUM(C7,C16)</f>
        <v>-894981</v>
      </c>
      <c r="D26" s="200">
        <f t="shared" si="0"/>
        <v>0</v>
      </c>
    </row>
    <row r="27" spans="1:7">
      <c r="A27" s="1" t="s">
        <v>333</v>
      </c>
      <c r="B27" s="1" t="s">
        <v>320</v>
      </c>
      <c r="C27" s="200">
        <f t="shared" si="0"/>
        <v>0</v>
      </c>
      <c r="D27" s="200">
        <f t="shared" si="0"/>
        <v>64697</v>
      </c>
    </row>
    <row r="28" spans="1:7">
      <c r="A28" s="1" t="s">
        <v>333</v>
      </c>
      <c r="B28" s="1" t="s">
        <v>321</v>
      </c>
      <c r="C28" s="200">
        <f t="shared" si="0"/>
        <v>-24607</v>
      </c>
      <c r="D28" s="200">
        <f t="shared" si="0"/>
        <v>0</v>
      </c>
    </row>
    <row r="29" spans="1:7">
      <c r="A29" s="1" t="s">
        <v>333</v>
      </c>
      <c r="B29" s="1" t="s">
        <v>322</v>
      </c>
      <c r="C29" s="200">
        <f t="shared" si="0"/>
        <v>0</v>
      </c>
      <c r="D29" s="200">
        <f t="shared" si="0"/>
        <v>5785</v>
      </c>
    </row>
    <row r="30" spans="1:7">
      <c r="A30" s="1" t="s">
        <v>333</v>
      </c>
      <c r="B30" s="1" t="s">
        <v>323</v>
      </c>
      <c r="C30" s="200">
        <f t="shared" si="0"/>
        <v>0</v>
      </c>
      <c r="D30" s="200">
        <f t="shared" si="0"/>
        <v>89898</v>
      </c>
    </row>
    <row r="31" spans="1:7">
      <c r="A31" s="1" t="s">
        <v>333</v>
      </c>
      <c r="B31" s="1" t="s">
        <v>324</v>
      </c>
      <c r="C31" s="200">
        <f t="shared" si="0"/>
        <v>0</v>
      </c>
      <c r="D31" s="200">
        <f t="shared" si="0"/>
        <v>25</v>
      </c>
    </row>
    <row r="32" spans="1:7">
      <c r="A32" s="1" t="s">
        <v>333</v>
      </c>
      <c r="B32" s="1" t="s">
        <v>325</v>
      </c>
      <c r="C32" s="200">
        <f t="shared" si="0"/>
        <v>-141126.92000000001</v>
      </c>
      <c r="D32" s="200">
        <f t="shared" si="0"/>
        <v>8316.3680000000004</v>
      </c>
    </row>
    <row r="33" spans="1:4">
      <c r="A33" s="1" t="s">
        <v>333</v>
      </c>
      <c r="B33" s="1" t="s">
        <v>328</v>
      </c>
      <c r="C33" s="200">
        <f t="shared" si="0"/>
        <v>-53738</v>
      </c>
      <c r="D33" s="200">
        <f t="shared" si="0"/>
        <v>0</v>
      </c>
    </row>
    <row r="34" spans="1:4">
      <c r="A34" s="1"/>
      <c r="B34" s="1"/>
      <c r="C34" s="17"/>
      <c r="D34" s="17"/>
    </row>
    <row r="35" spans="1:4">
      <c r="A35" s="1"/>
      <c r="B35" s="280" t="s">
        <v>133</v>
      </c>
      <c r="C35" s="200">
        <f>SUM(C26:C33)</f>
        <v>-1114452.92</v>
      </c>
      <c r="D35" s="200">
        <f>SUM(D26:D33)</f>
        <v>168721.36799999999</v>
      </c>
    </row>
    <row r="36" spans="1:4">
      <c r="A36" s="1"/>
      <c r="B36" s="280"/>
      <c r="C36" s="200"/>
      <c r="D36" s="200"/>
    </row>
    <row r="37" spans="1:4">
      <c r="A37" s="1"/>
      <c r="B37" s="280" t="s">
        <v>334</v>
      </c>
      <c r="C37" s="297">
        <f>C35+D35</f>
        <v>-945731.55199999991</v>
      </c>
      <c r="D37" s="297"/>
    </row>
  </sheetData>
  <mergeCells count="3">
    <mergeCell ref="C37:D37"/>
    <mergeCell ref="C4:D4"/>
    <mergeCell ref="A2:D2"/>
  </mergeCells>
  <hyperlinks>
    <hyperlink ref="G23" r:id="rId1" xr:uid="{DC53D551-567A-4BC1-A6CB-C2E6094249A6}"/>
    <hyperlink ref="G13" r:id="rId2" xr:uid="{98A9D633-968E-4867-8390-D6BBA535D49F}"/>
    <hyperlink ref="G7" r:id="rId3" xr:uid="{46A253A6-59CE-4F1B-A85E-0876D0A1D76C}"/>
    <hyperlink ref="G16" r:id="rId4" xr:uid="{93080D3D-86D4-4A4F-AA15-9CB180310B2A}"/>
  </hyperlinks>
  <pageMargins left="0.7" right="0.7" top="0.75" bottom="0.75" header="0.3" footer="0.3"/>
  <pageSetup orientation="portrait" verticalDpi="0"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93A08-F9EA-48E7-A770-FEBEC047DF0B}">
  <dimension ref="A1:Q75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16.85546875" bestFit="1" customWidth="1"/>
    <col min="2" max="2" width="20.85546875" bestFit="1" customWidth="1"/>
    <col min="3" max="3" width="29.28515625" customWidth="1"/>
    <col min="4" max="5" width="13.140625" style="3" customWidth="1"/>
    <col min="6" max="6" width="14.85546875" style="3" customWidth="1"/>
    <col min="7" max="7" width="12.85546875" style="3" customWidth="1"/>
    <col min="8" max="8" width="14.5703125" style="3" bestFit="1" customWidth="1"/>
    <col min="9" max="9" width="10.42578125" style="3" bestFit="1" customWidth="1"/>
    <col min="10" max="10" width="16.140625" style="3" customWidth="1"/>
    <col min="11" max="11" width="11" style="3" customWidth="1"/>
    <col min="12" max="13" width="11.140625" style="3" customWidth="1"/>
    <col min="14" max="14" width="14.5703125" style="3" bestFit="1" customWidth="1"/>
    <col min="15" max="15" width="15.85546875" style="3" customWidth="1"/>
    <col min="16" max="17" width="40.7109375" style="3" customWidth="1"/>
  </cols>
  <sheetData>
    <row r="1" spans="1:17" ht="15.75">
      <c r="A1" s="13" t="s">
        <v>335</v>
      </c>
      <c r="D1" s="124" t="s">
        <v>35</v>
      </c>
    </row>
    <row r="2" spans="1:17">
      <c r="E2" s="300" t="s">
        <v>336</v>
      </c>
      <c r="F2" s="300"/>
      <c r="G2" s="300"/>
      <c r="H2" s="300" t="s">
        <v>337</v>
      </c>
      <c r="I2" s="300"/>
      <c r="J2" s="300" t="s">
        <v>338</v>
      </c>
      <c r="K2" s="300"/>
      <c r="L2" s="300" t="s">
        <v>339</v>
      </c>
      <c r="M2" s="300"/>
      <c r="N2" s="300" t="s">
        <v>155</v>
      </c>
      <c r="O2" s="300"/>
    </row>
    <row r="3" spans="1:17" ht="45">
      <c r="A3" s="62"/>
      <c r="B3" s="63" t="s">
        <v>340</v>
      </c>
      <c r="C3" s="17" t="s">
        <v>341</v>
      </c>
      <c r="D3" s="62" t="s">
        <v>342</v>
      </c>
      <c r="E3" s="63" t="s">
        <v>343</v>
      </c>
      <c r="F3" s="62" t="s">
        <v>344</v>
      </c>
      <c r="G3" s="64" t="s">
        <v>345</v>
      </c>
      <c r="H3" s="62" t="s">
        <v>346</v>
      </c>
      <c r="I3" s="64" t="s">
        <v>345</v>
      </c>
      <c r="J3" s="62" t="s">
        <v>347</v>
      </c>
      <c r="K3" s="64" t="s">
        <v>345</v>
      </c>
      <c r="L3" s="62" t="s">
        <v>347</v>
      </c>
      <c r="M3" s="67" t="s">
        <v>345</v>
      </c>
      <c r="N3" s="64" t="s">
        <v>345</v>
      </c>
      <c r="O3" s="62" t="s">
        <v>348</v>
      </c>
      <c r="P3" s="62"/>
      <c r="Q3" s="62"/>
    </row>
    <row r="4" spans="1:17">
      <c r="A4" s="301" t="s">
        <v>349</v>
      </c>
      <c r="B4" s="301" t="s">
        <v>350</v>
      </c>
      <c r="C4" t="s">
        <v>351</v>
      </c>
      <c r="D4" s="137">
        <v>80956</v>
      </c>
      <c r="E4" s="53" t="s">
        <v>352</v>
      </c>
      <c r="F4" s="137">
        <v>522942</v>
      </c>
      <c r="G4" s="53">
        <f>(F4*'Emission and Conversion Factors'!$D$50)/1000000</f>
        <v>1784.278104</v>
      </c>
      <c r="H4" s="137">
        <v>1319747</v>
      </c>
      <c r="I4" s="53">
        <f>(H4*'Emission and Conversion Factors'!$D$51)/1000000</f>
        <v>1388.373844</v>
      </c>
      <c r="J4" s="125"/>
      <c r="K4" s="53"/>
      <c r="L4" s="125"/>
      <c r="N4" s="53">
        <f>(G4+I4+K4+M4)</f>
        <v>3172.6519479999997</v>
      </c>
      <c r="O4" s="54">
        <f>N4/D4*1000</f>
        <v>39.189830871090464</v>
      </c>
      <c r="P4" s="5"/>
      <c r="Q4" s="5"/>
    </row>
    <row r="5" spans="1:17">
      <c r="A5" s="301"/>
      <c r="B5" s="301"/>
      <c r="C5" t="s">
        <v>353</v>
      </c>
      <c r="D5" s="137">
        <v>85619</v>
      </c>
      <c r="E5" s="53" t="s">
        <v>352</v>
      </c>
      <c r="F5" s="137">
        <v>629096</v>
      </c>
      <c r="G5" s="53">
        <f>(F5*'Emission and Conversion Factors'!$D$50)/1000000</f>
        <v>2146.4755519999999</v>
      </c>
      <c r="H5" s="137">
        <v>1291993</v>
      </c>
      <c r="I5" s="53">
        <f>(H5*'Emission and Conversion Factors'!$D$51)/1000000</f>
        <v>1359.1766359999999</v>
      </c>
      <c r="J5" s="125"/>
      <c r="K5" s="53"/>
      <c r="L5" s="125"/>
      <c r="N5" s="53">
        <f t="shared" ref="N5:N30" si="0">(G5+I5+K5+M5)</f>
        <v>3505.652188</v>
      </c>
      <c r="O5" s="54">
        <f t="shared" ref="O5:O29" si="1">N5/D5*1000</f>
        <v>40.944792487648769</v>
      </c>
    </row>
    <row r="6" spans="1:17">
      <c r="A6" s="301"/>
      <c r="B6" s="301"/>
      <c r="C6" t="s">
        <v>354</v>
      </c>
      <c r="D6" s="137">
        <v>49852</v>
      </c>
      <c r="E6" s="53" t="s">
        <v>352</v>
      </c>
      <c r="F6" s="137">
        <v>410233</v>
      </c>
      <c r="G6" s="53">
        <f>(F6*'Emission and Conversion Factors'!$D$50)/1000000</f>
        <v>1399.7149959999999</v>
      </c>
      <c r="H6" s="137"/>
      <c r="I6" s="53"/>
      <c r="J6" s="137">
        <v>8538</v>
      </c>
      <c r="K6" s="53">
        <f>(J6*'Emission and Conversion Factors'!$D$52)/1000000</f>
        <v>1172.9589779999999</v>
      </c>
      <c r="L6" s="125"/>
      <c r="N6" s="53">
        <f t="shared" si="0"/>
        <v>2572.6739739999998</v>
      </c>
      <c r="O6" s="54">
        <f t="shared" si="1"/>
        <v>51.606233932440013</v>
      </c>
    </row>
    <row r="7" spans="1:17">
      <c r="A7" s="301"/>
      <c r="B7" s="301"/>
      <c r="C7" t="s">
        <v>355</v>
      </c>
      <c r="D7" s="137">
        <v>90550</v>
      </c>
      <c r="E7" s="53" t="s">
        <v>352</v>
      </c>
      <c r="F7" s="137">
        <v>724652</v>
      </c>
      <c r="G7" s="53">
        <f>(F7*'Emission and Conversion Factors'!$D$50)/1000000</f>
        <v>2472.512624</v>
      </c>
      <c r="H7" s="137"/>
      <c r="I7" s="53"/>
      <c r="J7" s="137">
        <v>7831</v>
      </c>
      <c r="K7" s="53">
        <f>(J7*'Emission and Conversion Factors'!$D$52)/1000000</f>
        <v>1075.8306110000001</v>
      </c>
      <c r="L7" s="125"/>
      <c r="N7" s="53">
        <f t="shared" si="0"/>
        <v>3548.3432350000003</v>
      </c>
      <c r="O7" s="54">
        <f t="shared" si="1"/>
        <v>39.186562506902263</v>
      </c>
    </row>
    <row r="8" spans="1:17">
      <c r="A8" s="301"/>
      <c r="B8" s="301"/>
      <c r="C8" t="s">
        <v>356</v>
      </c>
      <c r="D8" s="137">
        <v>54142</v>
      </c>
      <c r="E8" s="53" t="s">
        <v>352</v>
      </c>
      <c r="F8" s="137">
        <v>427152</v>
      </c>
      <c r="G8" s="53">
        <f>(F8*'Emission and Conversion Factors'!$D$50)/1000000</f>
        <v>1457.442624</v>
      </c>
      <c r="H8" s="137"/>
      <c r="I8" s="53"/>
      <c r="J8" s="137">
        <v>7842</v>
      </c>
      <c r="K8" s="53">
        <f>(J8*'Emission and Conversion Factors'!$D$52)/1000000</f>
        <v>1077.3418019999999</v>
      </c>
      <c r="L8" s="125"/>
      <c r="N8" s="53">
        <f t="shared" si="0"/>
        <v>2534.7844260000002</v>
      </c>
      <c r="O8" s="54">
        <f t="shared" si="1"/>
        <v>46.817340068708212</v>
      </c>
    </row>
    <row r="9" spans="1:17">
      <c r="A9" s="301"/>
      <c r="B9" s="301"/>
      <c r="C9" t="s">
        <v>357</v>
      </c>
      <c r="D9" s="137">
        <v>99258</v>
      </c>
      <c r="E9" s="53" t="s">
        <v>352</v>
      </c>
      <c r="F9" s="137">
        <v>885581</v>
      </c>
      <c r="G9" s="53">
        <f>(F9*'Emission and Conversion Factors'!$D$50)/1000000</f>
        <v>3021.6023719999998</v>
      </c>
      <c r="H9" s="137">
        <v>438236</v>
      </c>
      <c r="I9" s="53">
        <f>(H9*'Emission and Conversion Factors'!$D$51)/1000000</f>
        <v>461.024272</v>
      </c>
      <c r="J9" s="125"/>
      <c r="K9" s="53"/>
      <c r="L9" s="125"/>
      <c r="N9" s="53">
        <f t="shared" si="0"/>
        <v>3482.6266439999999</v>
      </c>
      <c r="O9" s="54">
        <f t="shared" si="1"/>
        <v>35.08660907936892</v>
      </c>
    </row>
    <row r="10" spans="1:17">
      <c r="A10" s="301"/>
      <c r="B10" s="301"/>
      <c r="C10" t="s">
        <v>358</v>
      </c>
      <c r="D10" s="137">
        <v>66437</v>
      </c>
      <c r="E10" s="53" t="s">
        <v>352</v>
      </c>
      <c r="F10" s="137">
        <v>556967</v>
      </c>
      <c r="G10" s="53">
        <f>(F10*'Emission and Conversion Factors'!$D$50)/1000000</f>
        <v>1900.371404</v>
      </c>
      <c r="H10" s="137">
        <v>857819</v>
      </c>
      <c r="I10" s="53">
        <f>(H10*'Emission and Conversion Factors'!$D$51)/1000000</f>
        <v>902.42558799999995</v>
      </c>
      <c r="J10" s="125"/>
      <c r="K10" s="53"/>
      <c r="L10" s="125"/>
      <c r="N10" s="53">
        <f t="shared" si="0"/>
        <v>2802.796992</v>
      </c>
      <c r="O10" s="54">
        <f t="shared" si="1"/>
        <v>42.187290094375122</v>
      </c>
    </row>
    <row r="11" spans="1:17">
      <c r="A11" s="301"/>
      <c r="B11" s="301"/>
      <c r="C11" t="s">
        <v>359</v>
      </c>
      <c r="D11" s="137">
        <v>56450</v>
      </c>
      <c r="E11" s="53" t="s">
        <v>352</v>
      </c>
      <c r="F11" s="137">
        <v>535944</v>
      </c>
      <c r="G11" s="53">
        <f>(F11*'Emission and Conversion Factors'!$D$50)/1000000</f>
        <v>1828.640928</v>
      </c>
      <c r="H11" s="137"/>
      <c r="I11" s="53"/>
      <c r="J11" s="137">
        <v>8228</v>
      </c>
      <c r="K11" s="53">
        <f>(J11*'Emission and Conversion Factors'!$D$52)/1000000</f>
        <v>1130.370868</v>
      </c>
      <c r="L11" s="125"/>
      <c r="N11" s="53">
        <f t="shared" si="0"/>
        <v>2959.0117959999998</v>
      </c>
      <c r="O11" s="54">
        <f t="shared" si="1"/>
        <v>52.418278051372894</v>
      </c>
    </row>
    <row r="12" spans="1:17">
      <c r="A12" s="301"/>
      <c r="B12" s="301"/>
      <c r="C12" t="s">
        <v>360</v>
      </c>
      <c r="D12" s="137">
        <v>92307</v>
      </c>
      <c r="E12" s="53" t="s">
        <v>352</v>
      </c>
      <c r="F12" s="137">
        <v>579608</v>
      </c>
      <c r="G12" s="53">
        <f>(F12*'Emission and Conversion Factors'!$D$50)/1000000</f>
        <v>1977.622496</v>
      </c>
      <c r="H12" s="137">
        <v>1540791</v>
      </c>
      <c r="I12" s="53">
        <f>(H12*'Emission and Conversion Factors'!$D$51)/1000000</f>
        <v>1620.9121319999999</v>
      </c>
      <c r="J12" s="125"/>
      <c r="K12" s="53"/>
      <c r="L12" s="125"/>
      <c r="N12" s="53">
        <f t="shared" si="0"/>
        <v>3598.5346279999999</v>
      </c>
      <c r="O12" s="54">
        <f t="shared" si="1"/>
        <v>38.984417519798065</v>
      </c>
    </row>
    <row r="13" spans="1:17">
      <c r="A13" s="301"/>
      <c r="B13" s="301"/>
      <c r="C13" t="s">
        <v>361</v>
      </c>
      <c r="D13" s="137">
        <v>42057</v>
      </c>
      <c r="E13" s="53" t="s">
        <v>352</v>
      </c>
      <c r="F13" s="137">
        <v>383955</v>
      </c>
      <c r="G13" s="53">
        <f>(F13*'Emission and Conversion Factors'!$D$50)/1000000</f>
        <v>1310.0544600000001</v>
      </c>
      <c r="H13" s="125"/>
      <c r="I13" s="53"/>
      <c r="J13" s="137">
        <v>4987</v>
      </c>
      <c r="K13" s="53">
        <f>(J13*'Emission and Conversion Factors'!$D$52)/1000000</f>
        <v>685.11904700000002</v>
      </c>
      <c r="L13" s="125"/>
      <c r="N13" s="53">
        <f t="shared" si="0"/>
        <v>1995.173507</v>
      </c>
      <c r="O13" s="54">
        <f t="shared" si="1"/>
        <v>47.439748603086286</v>
      </c>
    </row>
    <row r="14" spans="1:17">
      <c r="A14" s="301"/>
      <c r="B14" s="301"/>
      <c r="C14" t="s">
        <v>362</v>
      </c>
      <c r="D14" s="137">
        <v>30435</v>
      </c>
      <c r="E14" s="3" t="s">
        <v>152</v>
      </c>
      <c r="F14" s="137">
        <v>317622</v>
      </c>
      <c r="G14" s="53">
        <f>(F14*'Emission and Conversion Factors'!$D$50)/1000000</f>
        <v>1083.7262639999999</v>
      </c>
      <c r="H14" s="137"/>
      <c r="I14" s="53"/>
      <c r="J14" s="137">
        <v>5305</v>
      </c>
      <c r="K14" s="53">
        <f>(J14*'Emission and Conversion Factors'!$D$52)/1000000</f>
        <v>728.80620499999998</v>
      </c>
      <c r="L14" s="125"/>
      <c r="N14" s="53">
        <f t="shared" si="0"/>
        <v>1812.5324689999998</v>
      </c>
      <c r="O14" s="54">
        <f t="shared" si="1"/>
        <v>59.554212879907993</v>
      </c>
    </row>
    <row r="15" spans="1:17">
      <c r="A15" s="301"/>
      <c r="B15" s="301"/>
      <c r="C15" t="s">
        <v>363</v>
      </c>
      <c r="D15" s="137">
        <v>37306</v>
      </c>
      <c r="E15" s="3" t="s">
        <v>152</v>
      </c>
      <c r="F15" s="137">
        <v>494290</v>
      </c>
      <c r="G15" s="53">
        <f>(F15*'Emission and Conversion Factors'!$D$50)/1000000</f>
        <v>1686.51748</v>
      </c>
      <c r="H15" s="137"/>
      <c r="I15" s="53"/>
      <c r="J15" s="137">
        <v>3551</v>
      </c>
      <c r="K15" s="53">
        <f>(J15*'Emission and Conversion Factors'!$D$52)/1000000</f>
        <v>487.83993099999998</v>
      </c>
      <c r="L15" s="125"/>
      <c r="N15" s="53">
        <f t="shared" si="0"/>
        <v>2174.357411</v>
      </c>
      <c r="O15" s="54">
        <f t="shared" si="1"/>
        <v>58.284388865061921</v>
      </c>
    </row>
    <row r="16" spans="1:17">
      <c r="A16" s="301"/>
      <c r="B16" s="301"/>
      <c r="C16" t="s">
        <v>364</v>
      </c>
      <c r="D16" s="137">
        <v>71100</v>
      </c>
      <c r="E16" s="53" t="s">
        <v>352</v>
      </c>
      <c r="F16" s="137">
        <v>512250</v>
      </c>
      <c r="G16" s="53">
        <f>(F16*'Emission and Conversion Factors'!$D$50)/1000000</f>
        <v>1747.797</v>
      </c>
      <c r="H16" s="137"/>
      <c r="I16" s="53"/>
      <c r="J16" s="137">
        <v>10476</v>
      </c>
      <c r="K16" s="53">
        <f>(J16*'Emission and Conversion Factors'!$D$52)/1000000</f>
        <v>1439.203356</v>
      </c>
      <c r="L16" s="125"/>
      <c r="N16" s="53">
        <f t="shared" si="0"/>
        <v>3187.000356</v>
      </c>
      <c r="O16" s="54">
        <f t="shared" si="1"/>
        <v>44.824196286919829</v>
      </c>
    </row>
    <row r="17" spans="1:15">
      <c r="A17" s="301"/>
      <c r="B17" s="301"/>
      <c r="C17" t="s">
        <v>365</v>
      </c>
      <c r="D17" s="137">
        <v>38500</v>
      </c>
      <c r="E17" s="53" t="s">
        <v>352</v>
      </c>
      <c r="F17" s="137">
        <v>311388</v>
      </c>
      <c r="G17" s="53">
        <f>(F17*'Emission and Conversion Factors'!$D$50)/1000000</f>
        <v>1062.455856</v>
      </c>
      <c r="H17" s="137"/>
      <c r="I17" s="53"/>
      <c r="J17" s="137">
        <v>7057</v>
      </c>
      <c r="K17" s="53">
        <f>(J17*'Emission and Conversion Factors'!$D$52)/1000000</f>
        <v>969.49771699999997</v>
      </c>
      <c r="L17" s="125"/>
      <c r="N17" s="53">
        <f t="shared" si="0"/>
        <v>2031.953573</v>
      </c>
      <c r="O17" s="54">
        <f t="shared" si="1"/>
        <v>52.778014883116882</v>
      </c>
    </row>
    <row r="18" spans="1:15">
      <c r="A18" s="301"/>
      <c r="B18" s="301"/>
      <c r="C18" t="s">
        <v>366</v>
      </c>
      <c r="D18" s="137">
        <v>82458</v>
      </c>
      <c r="E18" s="53" t="s">
        <v>352</v>
      </c>
      <c r="F18" s="137">
        <v>617712</v>
      </c>
      <c r="G18" s="53">
        <f>(F18*'Emission and Conversion Factors'!$D$50)/1000000</f>
        <v>2107.6333439999999</v>
      </c>
      <c r="H18" s="137">
        <v>1241236</v>
      </c>
      <c r="I18" s="53">
        <f>(H18*'Emission and Conversion Factors'!$D$51)/1000000</f>
        <v>1305.780272</v>
      </c>
      <c r="J18" s="125"/>
      <c r="K18" s="53"/>
      <c r="L18" s="125"/>
      <c r="N18" s="53">
        <f t="shared" si="0"/>
        <v>3413.4136159999998</v>
      </c>
      <c r="O18" s="54">
        <f t="shared" si="1"/>
        <v>41.395784714642609</v>
      </c>
    </row>
    <row r="19" spans="1:15">
      <c r="A19" s="301"/>
      <c r="B19" s="301" t="s">
        <v>367</v>
      </c>
      <c r="C19" t="s">
        <v>368</v>
      </c>
      <c r="D19" s="137">
        <v>123626</v>
      </c>
      <c r="E19" s="53" t="s">
        <v>352</v>
      </c>
      <c r="F19" s="137">
        <v>816223</v>
      </c>
      <c r="G19" s="53">
        <f>(F19*'Emission and Conversion Factors'!$D$50)/1000000</f>
        <v>2784.9528759999998</v>
      </c>
      <c r="H19" s="137">
        <v>1880965</v>
      </c>
      <c r="I19" s="53">
        <f>(H19*'Emission and Conversion Factors'!$D$51)/1000000</f>
        <v>1978.7751800000001</v>
      </c>
      <c r="J19" s="125"/>
      <c r="K19" s="53"/>
      <c r="L19" s="125"/>
      <c r="N19" s="53">
        <f t="shared" si="0"/>
        <v>4763.7280559999999</v>
      </c>
      <c r="O19" s="54">
        <f t="shared" si="1"/>
        <v>38.533383398314271</v>
      </c>
    </row>
    <row r="20" spans="1:15">
      <c r="A20" s="301"/>
      <c r="B20" s="301"/>
      <c r="C20" t="s">
        <v>369</v>
      </c>
      <c r="D20" s="137">
        <v>120419</v>
      </c>
      <c r="E20" s="53" t="s">
        <v>352</v>
      </c>
      <c r="F20" s="137">
        <v>883583</v>
      </c>
      <c r="G20" s="53">
        <f>(F20*'Emission and Conversion Factors'!$D$50)/1000000</f>
        <v>3014.7851959999998</v>
      </c>
      <c r="H20" s="137"/>
      <c r="I20" s="53"/>
      <c r="J20" s="137">
        <v>14718</v>
      </c>
      <c r="K20" s="53">
        <f>(J20*'Emission and Conversion Factors'!$D$52)/1000000</f>
        <v>2021.9735579999999</v>
      </c>
      <c r="L20" s="125"/>
      <c r="N20" s="53">
        <f t="shared" si="0"/>
        <v>5036.7587539999995</v>
      </c>
      <c r="O20" s="54">
        <f t="shared" si="1"/>
        <v>41.826943870983811</v>
      </c>
    </row>
    <row r="21" spans="1:15">
      <c r="A21" s="301"/>
      <c r="B21" s="301"/>
      <c r="C21" t="s">
        <v>370</v>
      </c>
      <c r="D21" s="137">
        <v>94929</v>
      </c>
      <c r="E21" s="53" t="s">
        <v>352</v>
      </c>
      <c r="F21" s="137">
        <v>729984</v>
      </c>
      <c r="G21" s="53">
        <f>(F21*'Emission and Conversion Factors'!$D$50)/1000000</f>
        <v>2490.7054079999998</v>
      </c>
      <c r="H21" s="137">
        <v>1048216</v>
      </c>
      <c r="I21" s="53">
        <f>(H21*'Emission and Conversion Factors'!$D$51)/1000000</f>
        <v>1102.7232320000001</v>
      </c>
      <c r="J21" s="125"/>
      <c r="K21" s="53"/>
      <c r="L21" s="125"/>
      <c r="N21" s="53">
        <f t="shared" si="0"/>
        <v>3593.4286400000001</v>
      </c>
      <c r="O21" s="54">
        <f t="shared" si="1"/>
        <v>37.853855407725774</v>
      </c>
    </row>
    <row r="22" spans="1:15">
      <c r="A22" s="301"/>
      <c r="B22" s="301"/>
      <c r="C22" t="s">
        <v>371</v>
      </c>
      <c r="D22" s="137">
        <v>94440</v>
      </c>
      <c r="E22" s="53" t="s">
        <v>352</v>
      </c>
      <c r="F22" s="137">
        <v>774627</v>
      </c>
      <c r="G22" s="53">
        <f>(F22*'Emission and Conversion Factors'!$D$50)/1000000</f>
        <v>2643.0273240000001</v>
      </c>
      <c r="H22" s="137">
        <v>680945</v>
      </c>
      <c r="I22" s="53">
        <f>(H22*'Emission and Conversion Factors'!$D$51)/1000000</f>
        <v>716.35414000000003</v>
      </c>
      <c r="J22" s="125"/>
      <c r="K22" s="53"/>
      <c r="L22" s="125"/>
      <c r="N22" s="53">
        <f t="shared" si="0"/>
        <v>3359.3814640000001</v>
      </c>
      <c r="O22" s="54">
        <f t="shared" si="1"/>
        <v>35.571595340957224</v>
      </c>
    </row>
    <row r="23" spans="1:15">
      <c r="A23" s="301"/>
      <c r="B23" s="301"/>
      <c r="C23" t="s">
        <v>372</v>
      </c>
      <c r="D23" s="137">
        <v>98340</v>
      </c>
      <c r="E23" s="53" t="s">
        <v>352</v>
      </c>
      <c r="F23" s="137">
        <v>965208</v>
      </c>
      <c r="G23" s="53">
        <f>(F23*'Emission and Conversion Factors'!$D$50)/1000000</f>
        <v>3293.2896959999998</v>
      </c>
      <c r="H23" s="137"/>
      <c r="I23" s="53"/>
      <c r="J23" s="125"/>
      <c r="K23" s="53"/>
      <c r="L23" s="125"/>
      <c r="N23" s="53">
        <f t="shared" si="0"/>
        <v>3293.2896959999998</v>
      </c>
      <c r="O23" s="54">
        <f t="shared" si="1"/>
        <v>33.488811226357534</v>
      </c>
    </row>
    <row r="24" spans="1:15">
      <c r="A24" s="301"/>
      <c r="B24" s="301" t="s">
        <v>373</v>
      </c>
      <c r="C24" t="s">
        <v>374</v>
      </c>
      <c r="D24" s="137">
        <v>350103</v>
      </c>
      <c r="E24" s="53" t="s">
        <v>352</v>
      </c>
      <c r="F24" s="137">
        <v>2563027</v>
      </c>
      <c r="G24" s="53">
        <f>(F24*'Emission and Conversion Factors'!$D$50)/1000000</f>
        <v>8745.0481240000008</v>
      </c>
      <c r="H24" s="137">
        <v>3702074</v>
      </c>
      <c r="I24" s="53">
        <f>(H24*'Emission and Conversion Factors'!$D$51)/1000000</f>
        <v>3894.5818479999998</v>
      </c>
      <c r="J24" s="125"/>
      <c r="K24" s="53"/>
      <c r="L24" s="125"/>
      <c r="N24" s="53">
        <f t="shared" si="0"/>
        <v>12639.629972000001</v>
      </c>
      <c r="O24" s="54">
        <f t="shared" si="1"/>
        <v>36.102604010819675</v>
      </c>
    </row>
    <row r="25" spans="1:15">
      <c r="A25" s="301"/>
      <c r="B25" s="301"/>
      <c r="C25" t="s">
        <v>375</v>
      </c>
      <c r="D25" s="137">
        <v>249195</v>
      </c>
      <c r="E25" s="53" t="s">
        <v>352</v>
      </c>
      <c r="F25" s="137">
        <v>2539982</v>
      </c>
      <c r="G25" s="53">
        <f>(F25*'Emission and Conversion Factors'!$D$50)/1000000</f>
        <v>8666.4185839999991</v>
      </c>
      <c r="H25" s="137">
        <v>2829429</v>
      </c>
      <c r="I25" s="53">
        <f>(H25*'Emission and Conversion Factors'!$D$51)/1000000</f>
        <v>2976.5593079999999</v>
      </c>
      <c r="J25" s="125"/>
      <c r="K25" s="53"/>
      <c r="L25" s="125"/>
      <c r="N25" s="53">
        <f t="shared" si="0"/>
        <v>11642.977891999999</v>
      </c>
      <c r="O25" s="54">
        <f t="shared" si="1"/>
        <v>46.72235755934107</v>
      </c>
    </row>
    <row r="26" spans="1:15">
      <c r="A26" s="301"/>
      <c r="B26" s="301"/>
      <c r="C26" t="s">
        <v>376</v>
      </c>
      <c r="D26" s="137">
        <v>30915</v>
      </c>
      <c r="E26" s="53" t="s">
        <v>352</v>
      </c>
      <c r="F26" s="137">
        <v>289018</v>
      </c>
      <c r="G26" s="53">
        <f>(F26*'Emission and Conversion Factors'!$D$50)/1000000</f>
        <v>986.12941599999999</v>
      </c>
      <c r="H26" s="137">
        <v>832452</v>
      </c>
      <c r="I26" s="53">
        <f>(H26*'Emission and Conversion Factors'!$D$51)/1000000</f>
        <v>875.73950400000001</v>
      </c>
      <c r="J26" s="125"/>
      <c r="K26" s="53"/>
      <c r="L26" s="125"/>
      <c r="N26" s="53">
        <f t="shared" si="0"/>
        <v>1861.8689199999999</v>
      </c>
      <c r="O26" s="54">
        <f t="shared" si="1"/>
        <v>60.225421963448163</v>
      </c>
    </row>
    <row r="27" spans="1:15">
      <c r="A27" s="301"/>
      <c r="B27" s="301"/>
      <c r="C27" t="s">
        <v>377</v>
      </c>
      <c r="D27" s="137">
        <v>199904</v>
      </c>
      <c r="E27" s="53" t="s">
        <v>352</v>
      </c>
      <c r="F27" s="137">
        <v>1924207</v>
      </c>
      <c r="G27" s="53">
        <f>(F27*'Emission and Conversion Factors'!$D$50)/1000000</f>
        <v>6565.394284</v>
      </c>
      <c r="H27" s="137"/>
      <c r="I27" s="53"/>
      <c r="J27" s="137">
        <v>21378</v>
      </c>
      <c r="K27" s="53">
        <f>(J27*'Emission and Conversion Factors'!$D$52)/1000000</f>
        <v>2936.9310180000002</v>
      </c>
      <c r="L27" s="125"/>
      <c r="N27" s="53">
        <f t="shared" si="0"/>
        <v>9502.3253020000011</v>
      </c>
      <c r="O27" s="54">
        <f t="shared" si="1"/>
        <v>47.534443042660484</v>
      </c>
    </row>
    <row r="28" spans="1:15">
      <c r="A28" s="301"/>
      <c r="B28" s="301" t="s">
        <v>378</v>
      </c>
      <c r="C28" t="s">
        <v>379</v>
      </c>
      <c r="D28" s="137">
        <v>8835</v>
      </c>
      <c r="E28" s="53" t="s">
        <v>352</v>
      </c>
      <c r="F28" s="137">
        <v>398603</v>
      </c>
      <c r="G28" s="53">
        <f>(F28*'Emission and Conversion Factors'!$D$50)/1000000</f>
        <v>1360.0334359999999</v>
      </c>
      <c r="H28" s="137">
        <v>211405</v>
      </c>
      <c r="I28" s="53">
        <f>(H28*'Emission and Conversion Factors'!$D$51)/1000000</f>
        <v>222.39805999999999</v>
      </c>
      <c r="J28" s="125"/>
      <c r="K28" s="53"/>
      <c r="L28" s="125"/>
      <c r="N28" s="53">
        <f t="shared" si="0"/>
        <v>1582.4314959999999</v>
      </c>
      <c r="O28" s="54">
        <f t="shared" si="1"/>
        <v>179.10939400113185</v>
      </c>
    </row>
    <row r="29" spans="1:15">
      <c r="A29" s="301"/>
      <c r="B29" s="301"/>
      <c r="C29" t="s">
        <v>380</v>
      </c>
      <c r="D29" s="137">
        <v>12969</v>
      </c>
      <c r="E29" s="53" t="s">
        <v>352</v>
      </c>
      <c r="F29" s="137">
        <v>251534</v>
      </c>
      <c r="G29" s="53">
        <f>(F29*'Emission and Conversion Factors'!$D$50)/1000000</f>
        <v>858.23400800000002</v>
      </c>
      <c r="H29" s="137">
        <v>736246</v>
      </c>
      <c r="I29" s="53">
        <f>(H29*'Emission and Conversion Factors'!$D$51)/1000000</f>
        <v>774.53079200000002</v>
      </c>
      <c r="J29" s="125"/>
      <c r="K29" s="53"/>
      <c r="L29" s="125"/>
      <c r="N29" s="53">
        <f t="shared" si="0"/>
        <v>1632.7647999999999</v>
      </c>
      <c r="O29" s="54">
        <f t="shared" si="1"/>
        <v>125.89750944560105</v>
      </c>
    </row>
    <row r="30" spans="1:15">
      <c r="A30" s="301"/>
      <c r="B30" s="301"/>
      <c r="C30" s="8" t="s">
        <v>381</v>
      </c>
      <c r="D30" s="125"/>
      <c r="E30" s="65" t="s">
        <v>352</v>
      </c>
      <c r="F30" s="137">
        <v>60865</v>
      </c>
      <c r="G30" s="65">
        <f>(F30*'Emission and Conversion Factors'!$D$50)/1000000</f>
        <v>207.67138</v>
      </c>
      <c r="H30" s="137">
        <v>5003</v>
      </c>
      <c r="I30" s="65">
        <f>(H30*'Emission and Conversion Factors'!$D$51)/1000000</f>
        <v>5.2631560000000004</v>
      </c>
      <c r="J30" s="125"/>
      <c r="K30" s="65"/>
      <c r="L30" s="125"/>
      <c r="M30" s="281"/>
      <c r="N30" s="65">
        <f t="shared" si="0"/>
        <v>212.93453600000001</v>
      </c>
      <c r="O30" s="66"/>
    </row>
    <row r="31" spans="1:15">
      <c r="A31" s="301"/>
      <c r="B31" s="302" t="s">
        <v>382</v>
      </c>
      <c r="C31" s="302"/>
      <c r="D31" s="55">
        <f>SUM(D4:D30)</f>
        <v>2361102</v>
      </c>
      <c r="E31" s="55"/>
      <c r="F31" s="61">
        <f>SUM(F4:F30)</f>
        <v>20106253</v>
      </c>
      <c r="G31" s="61">
        <f>SUM(G4:G30)</f>
        <v>68602.535235999996</v>
      </c>
      <c r="H31" s="55">
        <f>SUM(H4:H30)</f>
        <v>18616557</v>
      </c>
      <c r="I31" s="55">
        <f>SUM(I4:I30)</f>
        <v>19584.617964000005</v>
      </c>
      <c r="J31" s="55">
        <f>SUM(J6:J27)</f>
        <v>99911</v>
      </c>
      <c r="K31" s="55">
        <f>SUM(K6:K27)</f>
        <v>13725.873091000001</v>
      </c>
      <c r="L31" s="55">
        <f t="shared" ref="L31:M31" si="2">SUM(L6:L27)</f>
        <v>0</v>
      </c>
      <c r="M31" s="55">
        <f t="shared" si="2"/>
        <v>0</v>
      </c>
      <c r="N31" s="55">
        <f>SUM(N4:N30)</f>
        <v>101913.02629099999</v>
      </c>
      <c r="O31" s="56"/>
    </row>
    <row r="32" spans="1:15">
      <c r="A32" s="279"/>
      <c r="B32" s="274"/>
      <c r="C32" s="274"/>
      <c r="D32" s="55"/>
      <c r="E32" s="55"/>
      <c r="F32" s="61"/>
      <c r="G32" s="55"/>
      <c r="H32" s="55"/>
      <c r="I32" s="55"/>
      <c r="J32" s="55"/>
      <c r="K32" s="53"/>
      <c r="N32" s="55"/>
      <c r="O32" s="56"/>
    </row>
    <row r="33" spans="1:15">
      <c r="A33" s="301" t="s">
        <v>285</v>
      </c>
      <c r="B33" s="301" t="s">
        <v>383</v>
      </c>
      <c r="C33" t="s">
        <v>384</v>
      </c>
      <c r="D33" s="137">
        <v>127336</v>
      </c>
      <c r="E33" s="53" t="s">
        <v>352</v>
      </c>
      <c r="F33" s="137">
        <v>1438759</v>
      </c>
      <c r="G33" s="53">
        <f>(F33*'Emission and Conversion Factors'!$D$50)/1000000</f>
        <v>4909.0457079999996</v>
      </c>
      <c r="H33" s="137">
        <v>3028290</v>
      </c>
      <c r="I33" s="53">
        <f>(H33*'Emission and Conversion Factors'!$D$51)/1000000</f>
        <v>3185.7610800000002</v>
      </c>
      <c r="J33" s="125"/>
      <c r="K33" s="53"/>
      <c r="L33" s="137"/>
      <c r="M33" s="53"/>
      <c r="N33" s="53">
        <f t="shared" ref="N33:N62" si="3">(G33+I33+K33+M33)</f>
        <v>8094.8067879999999</v>
      </c>
      <c r="O33" s="54">
        <f t="shared" ref="O33:O63" si="4">N33/D33*1000</f>
        <v>63.570449739272476</v>
      </c>
    </row>
    <row r="34" spans="1:15">
      <c r="A34" s="301"/>
      <c r="B34" s="301"/>
      <c r="C34" t="s">
        <v>385</v>
      </c>
      <c r="D34" s="137">
        <v>125464</v>
      </c>
      <c r="E34" s="53" t="s">
        <v>352</v>
      </c>
      <c r="F34" s="137">
        <v>2131858</v>
      </c>
      <c r="G34" s="53">
        <f>(F34*'Emission and Conversion Factors'!$D$50)/1000000</f>
        <v>7273.899496</v>
      </c>
      <c r="H34" s="137">
        <v>4192368</v>
      </c>
      <c r="I34" s="53">
        <f>(H34*'Emission and Conversion Factors'!$D$51)/1000000</f>
        <v>4410.3711359999998</v>
      </c>
      <c r="J34" s="125"/>
      <c r="K34" s="53"/>
      <c r="L34" s="137"/>
      <c r="M34" s="53"/>
      <c r="N34" s="53">
        <f t="shared" si="3"/>
        <v>11684.270632</v>
      </c>
      <c r="O34" s="54">
        <f t="shared" si="4"/>
        <v>93.128472167314925</v>
      </c>
    </row>
    <row r="35" spans="1:15">
      <c r="A35" s="301"/>
      <c r="B35" s="301" t="s">
        <v>386</v>
      </c>
      <c r="C35" t="s">
        <v>387</v>
      </c>
      <c r="D35" s="137">
        <v>33225</v>
      </c>
      <c r="E35" s="53" t="s">
        <v>352</v>
      </c>
      <c r="F35" s="137">
        <v>370200</v>
      </c>
      <c r="G35" s="53">
        <f>(F35*'Emission and Conversion Factors'!$D$50)/1000000</f>
        <v>1263.1224</v>
      </c>
      <c r="H35" s="137">
        <v>1088487</v>
      </c>
      <c r="I35" s="53">
        <f>(H35*'Emission and Conversion Factors'!$D$51)/1000000</f>
        <v>1145.0883240000001</v>
      </c>
      <c r="J35" s="125"/>
      <c r="K35" s="53"/>
      <c r="L35" s="137"/>
      <c r="M35" s="53"/>
      <c r="N35" s="53">
        <f t="shared" si="3"/>
        <v>2408.210724</v>
      </c>
      <c r="O35" s="54">
        <f t="shared" si="4"/>
        <v>72.481887855530474</v>
      </c>
    </row>
    <row r="36" spans="1:15">
      <c r="A36" s="301"/>
      <c r="B36" s="301"/>
      <c r="C36" t="s">
        <v>388</v>
      </c>
      <c r="D36" s="137">
        <v>18930</v>
      </c>
      <c r="E36" s="53" t="s">
        <v>352</v>
      </c>
      <c r="F36" s="137">
        <v>203661</v>
      </c>
      <c r="G36" s="53">
        <f>(F36*'Emission and Conversion Factors'!$D$50)/1000000</f>
        <v>694.89133200000003</v>
      </c>
      <c r="H36" s="125"/>
      <c r="I36" s="53"/>
      <c r="J36" s="125"/>
      <c r="K36" s="53"/>
      <c r="L36" s="137">
        <v>4086</v>
      </c>
      <c r="M36" s="53">
        <f>L36*'Emission and Conversion Factors'!$D$53/1000000</f>
        <v>371.82600000000002</v>
      </c>
      <c r="N36" s="53">
        <f t="shared" si="3"/>
        <v>1066.7173320000002</v>
      </c>
      <c r="O36" s="54">
        <f t="shared" si="4"/>
        <v>56.350625039619665</v>
      </c>
    </row>
    <row r="37" spans="1:15">
      <c r="A37" s="301"/>
      <c r="B37" s="301"/>
      <c r="C37" t="s">
        <v>389</v>
      </c>
      <c r="D37" s="137">
        <v>2861</v>
      </c>
      <c r="E37" s="53" t="s">
        <v>352</v>
      </c>
      <c r="F37" s="137">
        <v>65379</v>
      </c>
      <c r="G37" s="53">
        <f>(F37*'Emission and Conversion Factors'!$D$50)/1000000</f>
        <v>223.073148</v>
      </c>
      <c r="H37" s="137">
        <v>5170</v>
      </c>
      <c r="I37" s="53">
        <f>(H37*'Emission and Conversion Factors'!$D$51)/1000000</f>
        <v>5.4388399999999999</v>
      </c>
      <c r="J37" s="125"/>
      <c r="K37" s="53"/>
      <c r="L37" s="137"/>
      <c r="M37" s="53"/>
      <c r="N37" s="53">
        <f t="shared" si="3"/>
        <v>228.511988</v>
      </c>
      <c r="O37" s="54">
        <f t="shared" si="4"/>
        <v>79.871369451240824</v>
      </c>
    </row>
    <row r="38" spans="1:15">
      <c r="A38" s="301"/>
      <c r="B38" s="301"/>
      <c r="C38" t="s">
        <v>390</v>
      </c>
      <c r="D38" s="137">
        <v>16247</v>
      </c>
      <c r="E38" s="53" t="s">
        <v>352</v>
      </c>
      <c r="F38" s="137">
        <v>193159</v>
      </c>
      <c r="G38" s="53">
        <f>(F38*'Emission and Conversion Factors'!$D$50)/1000000</f>
        <v>659.05850799999996</v>
      </c>
      <c r="H38" s="137">
        <v>1453245</v>
      </c>
      <c r="I38" s="53">
        <f>(H38*'Emission and Conversion Factors'!$D$51)/1000000</f>
        <v>1528.8137400000001</v>
      </c>
      <c r="J38" s="125"/>
      <c r="K38" s="53"/>
      <c r="L38" s="137"/>
      <c r="M38" s="53"/>
      <c r="N38" s="53">
        <f t="shared" si="3"/>
        <v>2187.8722480000001</v>
      </c>
      <c r="O38" s="54">
        <f t="shared" si="4"/>
        <v>134.66315307441374</v>
      </c>
    </row>
    <row r="39" spans="1:15">
      <c r="A39" s="301"/>
      <c r="B39" s="301"/>
      <c r="C39" t="s">
        <v>391</v>
      </c>
      <c r="D39" s="137">
        <v>14242</v>
      </c>
      <c r="E39" s="53" t="s">
        <v>352</v>
      </c>
      <c r="F39" s="137">
        <v>208209</v>
      </c>
      <c r="G39" s="53">
        <f>(F39*'Emission and Conversion Factors'!$D$50)/1000000</f>
        <v>710.40910799999995</v>
      </c>
      <c r="H39" s="137">
        <v>542403</v>
      </c>
      <c r="I39" s="53">
        <f>(H39*'Emission and Conversion Factors'!$D$51)/1000000</f>
        <v>570.60795599999994</v>
      </c>
      <c r="J39" s="125"/>
      <c r="K39" s="53"/>
      <c r="L39" s="137"/>
      <c r="M39" s="53"/>
      <c r="N39" s="53">
        <f t="shared" si="3"/>
        <v>1281.0170639999999</v>
      </c>
      <c r="O39" s="54">
        <f t="shared" si="4"/>
        <v>89.946430557505963</v>
      </c>
    </row>
    <row r="40" spans="1:15">
      <c r="A40" s="301"/>
      <c r="B40" s="301"/>
      <c r="C40" t="s">
        <v>392</v>
      </c>
      <c r="D40" s="137">
        <v>9880</v>
      </c>
      <c r="E40" s="53" t="s">
        <v>352</v>
      </c>
      <c r="F40" s="137">
        <v>77161</v>
      </c>
      <c r="G40" s="53">
        <f>(F40*'Emission and Conversion Factors'!$D$50)/1000000</f>
        <v>263.27333199999998</v>
      </c>
      <c r="H40" s="137">
        <v>275761</v>
      </c>
      <c r="I40" s="53">
        <f>(H40*'Emission and Conversion Factors'!$D$51)/1000000</f>
        <v>290.100572</v>
      </c>
      <c r="J40" s="125"/>
      <c r="K40" s="53"/>
      <c r="L40" s="137"/>
      <c r="M40" s="53"/>
      <c r="N40" s="53">
        <f t="shared" si="3"/>
        <v>553.37390400000004</v>
      </c>
      <c r="O40" s="54">
        <f t="shared" si="4"/>
        <v>56.009504453441302</v>
      </c>
    </row>
    <row r="41" spans="1:15">
      <c r="A41" s="301"/>
      <c r="B41" s="301"/>
      <c r="C41" t="s">
        <v>393</v>
      </c>
      <c r="D41" s="137">
        <v>5800</v>
      </c>
      <c r="E41" s="53"/>
      <c r="F41" s="137">
        <v>0</v>
      </c>
      <c r="G41" s="53">
        <f>(F41*'Emission and Conversion Factors'!$D$50)/1000000</f>
        <v>0</v>
      </c>
      <c r="H41" s="137">
        <v>199825</v>
      </c>
      <c r="I41" s="53">
        <f>(H41*'Emission and Conversion Factors'!$D$51)/1000000</f>
        <v>210.2159</v>
      </c>
      <c r="J41" s="125"/>
      <c r="K41" s="53"/>
      <c r="L41" s="137"/>
      <c r="M41" s="53"/>
      <c r="N41" s="53">
        <f t="shared" si="3"/>
        <v>210.2159</v>
      </c>
      <c r="O41" s="54">
        <f t="shared" si="4"/>
        <v>36.244120689655169</v>
      </c>
    </row>
    <row r="42" spans="1:15">
      <c r="A42" s="301"/>
      <c r="B42" s="301" t="s">
        <v>394</v>
      </c>
      <c r="C42" t="s">
        <v>395</v>
      </c>
      <c r="D42" s="137">
        <v>63888</v>
      </c>
      <c r="E42" s="53" t="s">
        <v>352</v>
      </c>
      <c r="F42" s="137">
        <v>485419</v>
      </c>
      <c r="G42" s="53">
        <f>(F42*'Emission and Conversion Factors'!$D$50)/1000000</f>
        <v>1656.249628</v>
      </c>
      <c r="H42" s="137">
        <v>1696332</v>
      </c>
      <c r="I42" s="53">
        <f>(H42*'Emission and Conversion Factors'!$D$51)/1000000</f>
        <v>1784.541264</v>
      </c>
      <c r="J42" s="125"/>
      <c r="K42" s="53"/>
      <c r="L42" s="137"/>
      <c r="M42" s="53"/>
      <c r="N42" s="53">
        <f t="shared" si="3"/>
        <v>3440.790892</v>
      </c>
      <c r="O42" s="54">
        <f t="shared" si="4"/>
        <v>53.856606749311297</v>
      </c>
    </row>
    <row r="43" spans="1:15">
      <c r="A43" s="301"/>
      <c r="B43" s="301"/>
      <c r="C43" t="s">
        <v>356</v>
      </c>
      <c r="D43" s="137">
        <v>21208</v>
      </c>
      <c r="E43" s="53" t="s">
        <v>352</v>
      </c>
      <c r="F43" s="137">
        <v>280612</v>
      </c>
      <c r="G43" s="53">
        <f>(F43*'Emission and Conversion Factors'!$D$50)/1000000</f>
        <v>957.44814399999996</v>
      </c>
      <c r="H43" s="125"/>
      <c r="I43" s="53"/>
      <c r="J43" s="125"/>
      <c r="K43" s="53"/>
      <c r="L43" s="137">
        <v>6485</v>
      </c>
      <c r="M43" s="53">
        <f>L43*'Emission and Conversion Factors'!$D$53/1000000</f>
        <v>590.13499999999999</v>
      </c>
      <c r="N43" s="53">
        <f t="shared" si="3"/>
        <v>1547.5831439999999</v>
      </c>
      <c r="O43" s="54">
        <f t="shared" si="4"/>
        <v>72.971668427008666</v>
      </c>
    </row>
    <row r="44" spans="1:15">
      <c r="A44" s="301"/>
      <c r="B44" s="301"/>
      <c r="C44" t="s">
        <v>363</v>
      </c>
      <c r="D44" s="137">
        <v>3940</v>
      </c>
      <c r="E44" s="3" t="s">
        <v>152</v>
      </c>
      <c r="F44" s="137">
        <v>39415</v>
      </c>
      <c r="G44" s="53">
        <f>(F44*'Emission and Conversion Factors'!$D$50)/1000000</f>
        <v>134.48398</v>
      </c>
      <c r="H44" s="125"/>
      <c r="I44" s="53"/>
      <c r="J44" s="125"/>
      <c r="K44" s="53"/>
      <c r="L44" s="125"/>
      <c r="N44" s="53">
        <f t="shared" si="3"/>
        <v>134.48398</v>
      </c>
      <c r="O44" s="54">
        <f t="shared" si="4"/>
        <v>34.132989847715734</v>
      </c>
    </row>
    <row r="45" spans="1:15">
      <c r="A45" s="301"/>
      <c r="B45" s="301" t="s">
        <v>396</v>
      </c>
      <c r="C45" t="s">
        <v>397</v>
      </c>
      <c r="D45" s="137">
        <v>2655</v>
      </c>
      <c r="E45" s="53" t="s">
        <v>352</v>
      </c>
      <c r="F45" s="137">
        <v>26039</v>
      </c>
      <c r="G45" s="53">
        <f>(F45*'Emission and Conversion Factors'!$D$50)/1000000</f>
        <v>88.845067999999998</v>
      </c>
      <c r="H45" s="125"/>
      <c r="I45" s="53"/>
      <c r="J45" s="125"/>
      <c r="K45" s="53"/>
      <c r="L45" s="125"/>
      <c r="N45" s="53">
        <f t="shared" si="3"/>
        <v>88.845067999999998</v>
      </c>
      <c r="O45" s="54">
        <f t="shared" si="4"/>
        <v>33.463302448210918</v>
      </c>
    </row>
    <row r="46" spans="1:15">
      <c r="A46" s="301"/>
      <c r="B46" s="301"/>
      <c r="C46" t="s">
        <v>398</v>
      </c>
      <c r="D46" s="137">
        <v>25250</v>
      </c>
      <c r="E46" s="53" t="s">
        <v>352</v>
      </c>
      <c r="F46" s="137">
        <v>118307</v>
      </c>
      <c r="G46" s="53">
        <f>(F46*'Emission and Conversion Factors'!$D$50)/1000000</f>
        <v>403.66348399999998</v>
      </c>
      <c r="H46" s="125"/>
      <c r="I46" s="53"/>
      <c r="J46" s="137">
        <v>12316</v>
      </c>
      <c r="K46" s="53">
        <f>(J46*'Emission and Conversion Factors'!$D$52)/1000000</f>
        <v>1691.9843960000001</v>
      </c>
      <c r="L46" s="125"/>
      <c r="N46" s="53">
        <f t="shared" si="3"/>
        <v>2095.64788</v>
      </c>
      <c r="O46" s="54">
        <f t="shared" si="4"/>
        <v>82.995955643564358</v>
      </c>
    </row>
    <row r="47" spans="1:15">
      <c r="A47" s="301"/>
      <c r="B47" s="301"/>
      <c r="C47" t="s">
        <v>399</v>
      </c>
      <c r="D47" s="137">
        <v>30110</v>
      </c>
      <c r="E47" s="3" t="s">
        <v>152</v>
      </c>
      <c r="F47" s="137">
        <f>97635+82759</f>
        <v>180394</v>
      </c>
      <c r="G47" s="53">
        <f>(F47*'Emission and Conversion Factors'!$D$50)/1000000</f>
        <v>615.50432799999999</v>
      </c>
      <c r="H47" s="125"/>
      <c r="I47" s="53"/>
      <c r="J47" s="137">
        <v>2419</v>
      </c>
      <c r="K47" s="53">
        <f>(J47*'Emission and Conversion Factors'!$D$52)/1000000</f>
        <v>332.32463899999999</v>
      </c>
      <c r="L47" s="125"/>
      <c r="N47" s="53">
        <f t="shared" si="3"/>
        <v>947.82896699999992</v>
      </c>
      <c r="O47" s="54">
        <f t="shared" si="4"/>
        <v>31.478876353370968</v>
      </c>
    </row>
    <row r="48" spans="1:15">
      <c r="A48" s="301"/>
      <c r="B48" s="301"/>
      <c r="C48" t="s">
        <v>400</v>
      </c>
      <c r="D48" s="137">
        <v>2400</v>
      </c>
      <c r="E48" s="53" t="s">
        <v>352</v>
      </c>
      <c r="F48" s="137">
        <v>39961</v>
      </c>
      <c r="G48" s="53">
        <f>(F48*'Emission and Conversion Factors'!$D$50)/1000000</f>
        <v>136.34693200000001</v>
      </c>
      <c r="H48" s="125"/>
      <c r="I48" s="53"/>
      <c r="J48" s="137"/>
      <c r="K48" s="53"/>
      <c r="L48" s="125"/>
      <c r="N48" s="53">
        <f t="shared" si="3"/>
        <v>136.34693200000001</v>
      </c>
      <c r="O48" s="54">
        <f t="shared" si="4"/>
        <v>56.811221666666668</v>
      </c>
    </row>
    <row r="49" spans="1:15">
      <c r="A49" s="301"/>
      <c r="B49" s="301"/>
      <c r="C49" t="s">
        <v>401</v>
      </c>
      <c r="D49" s="137">
        <v>7422</v>
      </c>
      <c r="E49" s="53" t="s">
        <v>352</v>
      </c>
      <c r="F49" s="137">
        <v>33706</v>
      </c>
      <c r="G49" s="53">
        <f>(F49*'Emission and Conversion Factors'!$D$50)/1000000</f>
        <v>115.00487200000001</v>
      </c>
      <c r="H49" s="125"/>
      <c r="I49" s="53"/>
      <c r="J49" s="137">
        <v>818</v>
      </c>
      <c r="K49" s="53">
        <f>(J49*'Emission and Conversion Factors'!$D$52)/1000000</f>
        <v>112.377658</v>
      </c>
      <c r="L49" s="125"/>
      <c r="N49" s="53">
        <f t="shared" si="3"/>
        <v>227.38253</v>
      </c>
      <c r="O49" s="54">
        <f t="shared" si="4"/>
        <v>30.636288062516844</v>
      </c>
    </row>
    <row r="50" spans="1:15">
      <c r="A50" s="301"/>
      <c r="B50" s="301" t="s">
        <v>402</v>
      </c>
      <c r="C50" t="s">
        <v>403</v>
      </c>
      <c r="D50" s="125"/>
      <c r="E50" s="3" t="s">
        <v>153</v>
      </c>
      <c r="F50" s="137">
        <v>19963</v>
      </c>
      <c r="G50" s="53">
        <f>(F50*'Emission and Conversion Factors'!$D$50)/1000000</f>
        <v>68.113755999999995</v>
      </c>
      <c r="H50" s="125"/>
      <c r="I50" s="53"/>
      <c r="J50" s="125"/>
      <c r="K50" s="53"/>
      <c r="L50" s="125"/>
      <c r="N50" s="53">
        <f t="shared" si="3"/>
        <v>68.113755999999995</v>
      </c>
      <c r="O50" s="54"/>
    </row>
    <row r="51" spans="1:15">
      <c r="A51" s="301"/>
      <c r="B51" s="301"/>
      <c r="C51" t="s">
        <v>404</v>
      </c>
      <c r="D51" s="125"/>
      <c r="E51" s="53" t="s">
        <v>352</v>
      </c>
      <c r="F51" s="137">
        <v>16440</v>
      </c>
      <c r="G51" s="53">
        <f>(F51*'Emission and Conversion Factors'!$D$50)/1000000</f>
        <v>56.09328</v>
      </c>
      <c r="H51" s="125"/>
      <c r="I51" s="53"/>
      <c r="J51" s="125"/>
      <c r="K51" s="53"/>
      <c r="L51" s="125"/>
      <c r="N51" s="53">
        <f t="shared" si="3"/>
        <v>56.09328</v>
      </c>
      <c r="O51" s="54"/>
    </row>
    <row r="52" spans="1:15">
      <c r="A52" s="301"/>
      <c r="B52" s="301"/>
      <c r="C52" t="s">
        <v>405</v>
      </c>
      <c r="D52" s="125"/>
      <c r="E52" s="53" t="s">
        <v>352</v>
      </c>
      <c r="F52" s="137">
        <v>71240</v>
      </c>
      <c r="G52" s="53">
        <f>(F52*'Emission and Conversion Factors'!$D$50)/1000000</f>
        <v>243.07087999999999</v>
      </c>
      <c r="H52" s="125"/>
      <c r="I52" s="53"/>
      <c r="J52" s="125"/>
      <c r="K52" s="53"/>
      <c r="L52" s="125"/>
      <c r="N52" s="53">
        <f t="shared" si="3"/>
        <v>243.07087999999999</v>
      </c>
      <c r="O52" s="54"/>
    </row>
    <row r="53" spans="1:15">
      <c r="A53" s="301"/>
      <c r="B53" s="301"/>
      <c r="C53" t="s">
        <v>406</v>
      </c>
      <c r="D53" s="125"/>
      <c r="E53" s="53" t="s">
        <v>352</v>
      </c>
      <c r="F53" s="137">
        <v>70692</v>
      </c>
      <c r="G53" s="53">
        <f>(F53*'Emission and Conversion Factors'!$D$50)/1000000</f>
        <v>241.20110399999999</v>
      </c>
      <c r="H53" s="125"/>
      <c r="I53" s="53"/>
      <c r="J53" s="125"/>
      <c r="K53" s="53"/>
      <c r="L53" s="125"/>
      <c r="N53" s="53">
        <f t="shared" si="3"/>
        <v>241.20110399999999</v>
      </c>
      <c r="O53" s="54"/>
    </row>
    <row r="54" spans="1:15">
      <c r="A54" s="301"/>
      <c r="B54" s="301"/>
      <c r="C54" t="s">
        <v>407</v>
      </c>
      <c r="D54" s="137">
        <v>4954</v>
      </c>
      <c r="E54" s="53" t="s">
        <v>352</v>
      </c>
      <c r="F54" s="137">
        <v>13749</v>
      </c>
      <c r="G54" s="53">
        <f>(F54*'Emission and Conversion Factors'!$D$50)/1000000</f>
        <v>46.911588000000002</v>
      </c>
      <c r="H54" s="125"/>
      <c r="I54" s="53"/>
      <c r="J54" s="125"/>
      <c r="K54" s="53"/>
      <c r="L54" s="125"/>
      <c r="N54" s="53">
        <f t="shared" si="3"/>
        <v>46.911588000000002</v>
      </c>
      <c r="O54" s="54">
        <f t="shared" si="4"/>
        <v>9.4694364150181674</v>
      </c>
    </row>
    <row r="55" spans="1:15">
      <c r="A55" s="301"/>
      <c r="B55" s="301"/>
      <c r="C55" t="s">
        <v>408</v>
      </c>
      <c r="D55" s="125"/>
      <c r="E55" s="53" t="s">
        <v>352</v>
      </c>
      <c r="F55" s="137">
        <v>14341</v>
      </c>
      <c r="G55" s="53">
        <f>(F55*'Emission and Conversion Factors'!$D$50)/1000000</f>
        <v>48.931491999999999</v>
      </c>
      <c r="H55" s="125"/>
      <c r="I55" s="53"/>
      <c r="J55" s="125"/>
      <c r="K55" s="53"/>
      <c r="L55" s="125"/>
      <c r="N55" s="53">
        <f t="shared" si="3"/>
        <v>48.931491999999999</v>
      </c>
      <c r="O55" s="54"/>
    </row>
    <row r="56" spans="1:15">
      <c r="A56" s="301"/>
      <c r="B56" s="301"/>
      <c r="C56" t="s">
        <v>409</v>
      </c>
      <c r="D56" s="125"/>
      <c r="E56" s="53" t="s">
        <v>352</v>
      </c>
      <c r="F56" s="137">
        <v>24006</v>
      </c>
      <c r="G56" s="53">
        <f>(F56*'Emission and Conversion Factors'!$D$50)/1000000</f>
        <v>81.908472000000003</v>
      </c>
      <c r="H56" s="125"/>
      <c r="I56" s="53"/>
      <c r="J56" s="125"/>
      <c r="K56" s="53"/>
      <c r="L56" s="125"/>
      <c r="N56" s="53">
        <f t="shared" si="3"/>
        <v>81.908472000000003</v>
      </c>
      <c r="O56" s="54"/>
    </row>
    <row r="57" spans="1:15">
      <c r="A57" s="301"/>
      <c r="B57" s="301"/>
      <c r="C57" t="s">
        <v>410</v>
      </c>
      <c r="D57" s="125"/>
      <c r="E57" s="3" t="s">
        <v>152</v>
      </c>
      <c r="F57" s="137">
        <v>3418</v>
      </c>
      <c r="G57" s="53">
        <f>(F57*'Emission and Conversion Factors'!$D$50)/1000000</f>
        <v>11.662216000000001</v>
      </c>
      <c r="H57" s="125"/>
      <c r="I57" s="53"/>
      <c r="J57" s="125"/>
      <c r="K57" s="53"/>
      <c r="L57" s="125"/>
      <c r="N57" s="53">
        <f t="shared" si="3"/>
        <v>11.662216000000001</v>
      </c>
      <c r="O57" s="54"/>
    </row>
    <row r="58" spans="1:15">
      <c r="A58" s="301"/>
      <c r="B58" s="301"/>
      <c r="C58" t="s">
        <v>411</v>
      </c>
      <c r="D58" s="137">
        <v>8742</v>
      </c>
      <c r="E58" s="3" t="s">
        <v>152</v>
      </c>
      <c r="F58" s="137">
        <v>121072</v>
      </c>
      <c r="G58" s="53">
        <f>(F58*'Emission and Conversion Factors'!$D$50)/1000000</f>
        <v>413.09766400000001</v>
      </c>
      <c r="H58" s="137">
        <v>608914</v>
      </c>
      <c r="I58" s="53">
        <f>(H58*'Emission and Conversion Factors'!$D$51)/1000000</f>
        <v>640.57752800000003</v>
      </c>
      <c r="J58" s="125"/>
      <c r="K58" s="53"/>
      <c r="L58" s="125"/>
      <c r="N58" s="53">
        <f t="shared" si="3"/>
        <v>1053.6751920000002</v>
      </c>
      <c r="O58" s="54">
        <f t="shared" si="4"/>
        <v>120.53022100205904</v>
      </c>
    </row>
    <row r="59" spans="1:15">
      <c r="A59" s="301"/>
      <c r="B59" s="301"/>
      <c r="C59" t="s">
        <v>412</v>
      </c>
      <c r="D59" s="125"/>
      <c r="F59" s="125"/>
      <c r="G59" s="53">
        <f>(F59*'Emission and Conversion Factors'!$D$50)/1000000</f>
        <v>0</v>
      </c>
      <c r="H59" s="125"/>
      <c r="I59" s="53"/>
      <c r="J59" s="125"/>
      <c r="K59" s="53"/>
      <c r="L59" s="125"/>
      <c r="N59" s="53"/>
      <c r="O59" s="54"/>
    </row>
    <row r="60" spans="1:15">
      <c r="A60" s="301"/>
      <c r="B60" s="301"/>
      <c r="C60" t="s">
        <v>413</v>
      </c>
      <c r="D60" s="125"/>
      <c r="E60" s="3" t="s">
        <v>152</v>
      </c>
      <c r="F60" s="137">
        <v>17063</v>
      </c>
      <c r="G60" s="53">
        <f>(F60*'Emission and Conversion Factors'!$D$50)/1000000</f>
        <v>58.218955999999999</v>
      </c>
      <c r="H60" s="125"/>
      <c r="I60" s="53"/>
      <c r="J60" s="125"/>
      <c r="K60" s="53"/>
      <c r="L60" s="125"/>
      <c r="N60" s="53">
        <f t="shared" si="3"/>
        <v>58.218955999999999</v>
      </c>
      <c r="O60" s="54"/>
    </row>
    <row r="61" spans="1:15">
      <c r="A61" s="301"/>
      <c r="B61" s="301"/>
      <c r="C61" t="s">
        <v>414</v>
      </c>
      <c r="D61" s="125"/>
      <c r="E61" s="3" t="s">
        <v>152</v>
      </c>
      <c r="F61" s="137">
        <v>2850</v>
      </c>
      <c r="G61" s="53">
        <f>(F61*'Emission and Conversion Factors'!$D$50)/1000000</f>
        <v>9.7241999999999997</v>
      </c>
      <c r="H61" s="125"/>
      <c r="I61" s="53"/>
      <c r="J61" s="125"/>
      <c r="K61" s="53"/>
      <c r="L61" s="125"/>
      <c r="N61" s="53">
        <f t="shared" si="3"/>
        <v>9.7241999999999997</v>
      </c>
      <c r="O61" s="54"/>
    </row>
    <row r="62" spans="1:15">
      <c r="A62" s="301"/>
      <c r="B62" s="301"/>
      <c r="C62" t="s">
        <v>415</v>
      </c>
      <c r="D62" s="125"/>
      <c r="E62" s="3" t="s">
        <v>152</v>
      </c>
      <c r="F62" s="137">
        <v>19363</v>
      </c>
      <c r="G62" s="53">
        <f>(F62*'Emission and Conversion Factors'!$D$50)/1000000</f>
        <v>66.066556000000006</v>
      </c>
      <c r="H62" s="125"/>
      <c r="I62" s="53"/>
      <c r="J62" s="125"/>
      <c r="K62" s="53"/>
      <c r="L62" s="125"/>
      <c r="N62" s="53">
        <f t="shared" si="3"/>
        <v>66.066556000000006</v>
      </c>
      <c r="O62" s="54"/>
    </row>
    <row r="63" spans="1:15">
      <c r="A63" s="301"/>
      <c r="B63" s="301"/>
      <c r="C63" t="s">
        <v>416</v>
      </c>
      <c r="D63" s="137">
        <v>1000</v>
      </c>
      <c r="E63" s="53" t="s">
        <v>154</v>
      </c>
      <c r="F63" s="137"/>
      <c r="G63" s="53"/>
      <c r="H63" s="125"/>
      <c r="I63" s="53"/>
      <c r="J63" s="125"/>
      <c r="K63" s="53"/>
      <c r="L63" s="125"/>
      <c r="N63" s="53"/>
      <c r="O63" s="54">
        <f t="shared" si="4"/>
        <v>0</v>
      </c>
    </row>
    <row r="64" spans="1:15">
      <c r="A64" s="301"/>
      <c r="B64" s="301"/>
      <c r="C64" s="8" t="s">
        <v>417</v>
      </c>
      <c r="D64" s="125"/>
      <c r="E64" s="281"/>
      <c r="F64" s="137"/>
      <c r="G64" s="65"/>
      <c r="H64" s="125"/>
      <c r="I64" s="65"/>
      <c r="J64" s="125"/>
      <c r="K64" s="65"/>
      <c r="L64" s="125"/>
      <c r="M64" s="281"/>
      <c r="N64" s="65"/>
      <c r="O64" s="66"/>
    </row>
    <row r="65" spans="1:15">
      <c r="A65" s="301"/>
      <c r="B65" s="302" t="s">
        <v>418</v>
      </c>
      <c r="C65" s="302"/>
      <c r="D65" s="55">
        <f>SUM(D33:D64)</f>
        <v>525554</v>
      </c>
      <c r="E65" s="55"/>
      <c r="F65" s="55">
        <f t="shared" ref="F65:N65" si="5">SUM(F33:F64)</f>
        <v>6286436</v>
      </c>
      <c r="G65" s="55">
        <f>SUM(G33:G64)</f>
        <v>21449.319631999999</v>
      </c>
      <c r="H65" s="55">
        <f t="shared" si="5"/>
        <v>13090795</v>
      </c>
      <c r="I65" s="55">
        <f t="shared" si="5"/>
        <v>13771.516339999998</v>
      </c>
      <c r="J65" s="55">
        <f>SUM(J33:J64)</f>
        <v>15553</v>
      </c>
      <c r="K65" s="55">
        <f>SUM(K33:K64)</f>
        <v>2136.6866930000001</v>
      </c>
      <c r="L65" s="55">
        <f t="shared" si="5"/>
        <v>10571</v>
      </c>
      <c r="M65" s="55">
        <f t="shared" si="5"/>
        <v>961.96100000000001</v>
      </c>
      <c r="N65" s="55">
        <f t="shared" si="5"/>
        <v>38319.483665</v>
      </c>
      <c r="O65" s="56"/>
    </row>
    <row r="66" spans="1:15">
      <c r="A66" s="138"/>
      <c r="B66" s="138"/>
      <c r="C66" s="138"/>
      <c r="D66" s="55"/>
      <c r="E66" s="55"/>
      <c r="F66" s="279"/>
      <c r="G66" s="279"/>
      <c r="H66" s="279"/>
      <c r="I66" s="55"/>
      <c r="J66" s="279"/>
      <c r="K66" s="53"/>
      <c r="L66" s="279"/>
      <c r="M66" s="279"/>
      <c r="N66" s="53"/>
    </row>
    <row r="67" spans="1:15">
      <c r="A67" s="301" t="s">
        <v>419</v>
      </c>
      <c r="B67" s="301"/>
      <c r="C67" s="301"/>
      <c r="D67" s="55">
        <f>D65+D31</f>
        <v>2886656</v>
      </c>
      <c r="E67" s="55"/>
      <c r="F67" s="55">
        <f>F65+F31</f>
        <v>26392689</v>
      </c>
      <c r="G67" s="55">
        <f>G65+G31</f>
        <v>90051.854867999995</v>
      </c>
      <c r="H67" s="55">
        <f>H65+H31</f>
        <v>31707352</v>
      </c>
      <c r="I67" s="55">
        <f t="shared" ref="I67:N67" si="6">I65+I31</f>
        <v>33356.134304000007</v>
      </c>
      <c r="J67" s="55">
        <f t="shared" si="6"/>
        <v>115464</v>
      </c>
      <c r="K67" s="55">
        <f t="shared" si="6"/>
        <v>15862.559784000001</v>
      </c>
      <c r="L67" s="55">
        <f t="shared" si="6"/>
        <v>10571</v>
      </c>
      <c r="M67" s="55">
        <f t="shared" si="6"/>
        <v>961.96100000000001</v>
      </c>
      <c r="N67" s="55">
        <f t="shared" si="6"/>
        <v>140232.50995599999</v>
      </c>
      <c r="O67" s="55"/>
    </row>
    <row r="68" spans="1:15">
      <c r="I68" s="53"/>
      <c r="K68" s="53"/>
      <c r="M68" s="53"/>
    </row>
    <row r="69" spans="1:15">
      <c r="A69" s="12" t="s">
        <v>420</v>
      </c>
      <c r="D69" s="53" t="s">
        <v>421</v>
      </c>
      <c r="G69" s="53"/>
      <c r="I69" s="53"/>
      <c r="J69" s="53"/>
      <c r="K69" s="53"/>
    </row>
    <row r="70" spans="1:15">
      <c r="A70" s="57" t="s">
        <v>422</v>
      </c>
      <c r="B70" s="57"/>
      <c r="C70" s="68" t="s">
        <v>152</v>
      </c>
      <c r="D70" s="72">
        <f>SUMIF(E$4:E$64,C70,F$4:F$64)</f>
        <v>1195487</v>
      </c>
      <c r="I70" s="53"/>
      <c r="K70" s="53"/>
    </row>
    <row r="71" spans="1:15">
      <c r="A71" s="58" t="s">
        <v>423</v>
      </c>
      <c r="B71" s="58"/>
      <c r="C71" s="69" t="s">
        <v>153</v>
      </c>
      <c r="D71" s="73">
        <f>SUMIF(E$4:E$64,C71,F$4:F$64)</f>
        <v>19963</v>
      </c>
      <c r="I71" s="53"/>
    </row>
    <row r="72" spans="1:15">
      <c r="A72" s="59" t="s">
        <v>424</v>
      </c>
      <c r="B72" s="59"/>
      <c r="C72" s="70" t="s">
        <v>352</v>
      </c>
      <c r="D72" s="74">
        <f>SUMIF(E$4:E$64,C72,F$4:F$64)</f>
        <v>25177239</v>
      </c>
      <c r="H72" s="53"/>
      <c r="I72" s="53"/>
    </row>
    <row r="73" spans="1:15">
      <c r="A73" s="60" t="s">
        <v>425</v>
      </c>
      <c r="B73" s="60"/>
      <c r="C73" s="71" t="s">
        <v>154</v>
      </c>
      <c r="D73" s="75">
        <f>SUMIF(E$4:E$64,C73,F$4:F$64)</f>
        <v>0</v>
      </c>
      <c r="I73" s="53"/>
    </row>
    <row r="74" spans="1:15">
      <c r="I74" s="53"/>
    </row>
    <row r="75" spans="1:15">
      <c r="B75" s="6"/>
    </row>
  </sheetData>
  <mergeCells count="19">
    <mergeCell ref="A4:A31"/>
    <mergeCell ref="B4:B18"/>
    <mergeCell ref="B19:B23"/>
    <mergeCell ref="B24:B27"/>
    <mergeCell ref="B28:B30"/>
    <mergeCell ref="B31:C31"/>
    <mergeCell ref="A67:C67"/>
    <mergeCell ref="A33:A65"/>
    <mergeCell ref="B33:B34"/>
    <mergeCell ref="B35:B41"/>
    <mergeCell ref="B42:B44"/>
    <mergeCell ref="B45:B49"/>
    <mergeCell ref="B50:B64"/>
    <mergeCell ref="B65:C65"/>
    <mergeCell ref="H2:I2"/>
    <mergeCell ref="J2:K2"/>
    <mergeCell ref="L2:M2"/>
    <mergeCell ref="N2:O2"/>
    <mergeCell ref="E2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8A6911F4B56C4DB0431B3900C15444" ma:contentTypeVersion="4" ma:contentTypeDescription="Create a new document." ma:contentTypeScope="" ma:versionID="e663beeb499ba7daf231d006f0a6b03e">
  <xsd:schema xmlns:xsd="http://www.w3.org/2001/XMLSchema" xmlns:xs="http://www.w3.org/2001/XMLSchema" xmlns:p="http://schemas.microsoft.com/office/2006/metadata/properties" xmlns:ns2="8305d26e-6acd-47e4-aadb-c6ad9065f79e" xmlns:ns3="ff03cad7-1567-4b7e-ac20-01c67c53d542" targetNamespace="http://schemas.microsoft.com/office/2006/metadata/properties" ma:root="true" ma:fieldsID="2002f65eb1932f6e0719ef259450a020" ns2:_="" ns3:_="">
    <xsd:import namespace="8305d26e-6acd-47e4-aadb-c6ad9065f79e"/>
    <xsd:import namespace="ff03cad7-1567-4b7e-ac20-01c67c53d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5d26e-6acd-47e4-aadb-c6ad9065f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3cad7-1567-4b7e-ac20-01c67c53d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D288C3-3D17-4754-BA88-CF0FF89F3D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05d26e-6acd-47e4-aadb-c6ad9065f79e"/>
    <ds:schemaRef ds:uri="ff03cad7-1567-4b7e-ac20-01c67c53d5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852A82-D9C1-4FD9-ADD1-3F4694F159E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7AB7F5F-947B-4F25-9D70-BEED942B3F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Emission and Conversion Factors</vt:lpstr>
      <vt:lpstr>Transportation</vt:lpstr>
      <vt:lpstr>Stationary Energy</vt:lpstr>
      <vt:lpstr>Waste</vt:lpstr>
      <vt:lpstr>AFOLU</vt:lpstr>
      <vt:lpstr>Local Government</vt:lpstr>
      <vt:lpstr>Forestry</vt:lpstr>
      <vt:lpstr>Gov Building Detail</vt:lpstr>
      <vt:lpstr>Cville Gas Detail</vt:lpstr>
      <vt:lpstr>Home Heating Fuel</vt:lpstr>
      <vt:lpstr>eGRID History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Harper</dc:creator>
  <cp:keywords/>
  <dc:description/>
  <cp:lastModifiedBy>Eric Purdy</cp:lastModifiedBy>
  <cp:revision/>
  <dcterms:created xsi:type="dcterms:W3CDTF">2020-12-30T16:33:59Z</dcterms:created>
  <dcterms:modified xsi:type="dcterms:W3CDTF">2021-08-30T17:24:23Z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0x0101002A8A6911F4B56C4DB0431B3900C15444</vt:lpwstr>
  </property>
  <property fmtid="{D5CDD505-2E9C-101B-9397-08002B2CF9AE}" pid="3" name="_ExtendedDescription">
    <vt:lpwstr/>
  </property>
</Properties>
</file>