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s://albemarlecountyva.sharepoint.com/sites/esd/docs/MS4/MS4_ADMINISTRATIVE/MS4_ANNUAL REPORTS/MS4_FY_2024 ANNUAL REPORT/FY2024 ChesBay Status Report/FY2024 ChesBay update report/"/>
    </mc:Choice>
  </mc:AlternateContent>
  <xr:revisionPtr revIDLastSave="297" documentId="8_{E2FDD003-6650-4852-825A-3FA898986501}" xr6:coauthVersionLast="47" xr6:coauthVersionMax="47" xr10:uidLastSave="{12294F82-EFD8-4739-A678-780007D06907}"/>
  <bookViews>
    <workbookView xWindow="-120" yWindow="-120" windowWidth="29040" windowHeight="15720" firstSheet="6" activeTab="9" xr2:uid="{00000000-000D-0000-FFFF-FFFF01000000}"/>
  </bookViews>
  <sheets>
    <sheet name="FY2024 Confirmation Statement" sheetId="40" r:id="rId1"/>
    <sheet name="Nutrient Accounting Overview" sheetId="32" r:id="rId2"/>
    <sheet name="Existing Source Loads" sheetId="36" r:id="rId3"/>
    <sheet name="2009 Land Use" sheetId="29" r:id="rId4"/>
    <sheet name="New and GF Source Loads" sheetId="37" r:id="rId5"/>
    <sheet name="Special Situations" sheetId="31" r:id="rId6"/>
    <sheet name="Structural BMP Accounting" sheetId="26" r:id="rId7"/>
    <sheet name="Stream Restoration Accounting" sheetId="38" r:id="rId8"/>
    <sheet name="Historical BMP Accounting" sheetId="30" r:id="rId9"/>
    <sheet name="NMP" sheetId="33" r:id="rId10"/>
    <sheet name="Efficiency Lookup" sheetId="19" r:id="rId11"/>
    <sheet name="Efficiency Table Overview" sheetId="8" r:id="rId12"/>
  </sheets>
  <externalReferences>
    <externalReference r:id="rId13"/>
  </externalReferences>
  <definedNames>
    <definedName name="Bioretention1999">'Efficiency Lookup'!$E$44:$E$47</definedName>
    <definedName name="BioretentionCBP">'Efficiency Lookup'!$E$48:$E$50</definedName>
    <definedName name="BioretentionClearinghouse">'Efficiency Lookup'!$E$51:$E$53</definedName>
    <definedName name="Common_Names">'Efficiency Lookup'!$A$44:$A$56</definedName>
    <definedName name="common2">'[1]Efficiency Lookup'!$A$44:$A$56</definedName>
    <definedName name="Detention1999">'Efficiency Lookup'!$D$44:$D$45</definedName>
    <definedName name="DetentionCBP">'Efficiency Lookup'!$D$46:$D$48</definedName>
    <definedName name="DetentionClearinghouse">'Efficiency Lookup'!$D$49:$D$50</definedName>
    <definedName name="Filtering_Practices1999">'Efficiency Lookup'!$H$44</definedName>
    <definedName name="Filtering_PracticesCBP">'Efficiency Lookup'!$H$45</definedName>
    <definedName name="Filtering_PracticesClearinghouse">'Efficiency Lookup'!$H$46:$H$47</definedName>
    <definedName name="Green_Roof1999">'Efficiency Lookup'!$L$44</definedName>
    <definedName name="Green_RoofCBP">'Efficiency Lookup'!$L$45</definedName>
    <definedName name="Green_RoofClearinghouse">'Efficiency Lookup'!$L$46:$L$47</definedName>
    <definedName name="Infiltration1999">'Efficiency Lookup'!$G$44:$G$45</definedName>
    <definedName name="InfiltrationCBP">'Efficiency Lookup'!$G$46:$G$47</definedName>
    <definedName name="InfiltrationClearinghouse">'Efficiency Lookup'!$G$48:$G$49</definedName>
    <definedName name="n_a">"Rainwater_Harvesting1999"</definedName>
    <definedName name="Permeable_Pvmt1999">'Efficiency Lookup'!$I$44</definedName>
    <definedName name="Permeable_PvmtCBP">'Efficiency Lookup'!$I$45:$I$50</definedName>
    <definedName name="Permeable_PvmtClearinghouse">'Efficiency Lookup'!$I$51:$I$52</definedName>
    <definedName name="Proprietary1999">'Efficiency Lookup'!$M$44:$M$50</definedName>
    <definedName name="ProprietaryCBP">'Efficiency Lookup'!$M$51:$M$54</definedName>
    <definedName name="ProprietaryClearinghouse">'Efficiency Lookup'!$M$55:$M$58</definedName>
    <definedName name="Rainwater_HarvestingCBP">'Efficiency Lookup'!$K$45</definedName>
    <definedName name="Rainwater_HarvestingClearinghouse">'Efficiency Lookup'!$K$46</definedName>
    <definedName name="Swales1999">'Efficiency Lookup'!$F$44:$F$47</definedName>
    <definedName name="SwalesCBP">'Efficiency Lookup'!$F$48</definedName>
    <definedName name="SwalesClearinghouse">'Efficiency Lookup'!$F$49:$F$52</definedName>
    <definedName name="Veg_Chan1999">'Efficiency Lookup'!$J$44</definedName>
    <definedName name="Veg_ChanCBP">'Efficiency Lookup'!$J$45:$J$46</definedName>
    <definedName name="Veg_ChanClearinghouse">'Efficiency Lookup'!$J$47</definedName>
    <definedName name="Wet_Pond_or_Wetlands1999">'Efficiency Lookup'!$B$44:$B$46</definedName>
    <definedName name="Wet_Pond_or_WetlandsCBP">'Efficiency Lookup'!$B$47</definedName>
    <definedName name="Wet_Pond_or_WetlandsClearinghouse">'Efficiency Lookup'!$B$48:$B$52</definedName>
    <definedName name="Wet_Pond1999">'Efficiency Lookup'!$B$44:$B$46</definedName>
    <definedName name="Wet_PondCBP">'Efficiency Lookup'!$B$47</definedName>
    <definedName name="Wet_PondClearinghouse">'Efficiency Lookup'!$B$48:$B$49</definedName>
    <definedName name="Wetlands1999">'Efficiency Lookup'!$C$44</definedName>
    <definedName name="WetlandsCBP">'Efficiency Lookup'!$C$45</definedName>
    <definedName name="WetlandsClearinghouse">'Efficiency Lookup'!$C$46:$C$47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32" l="1"/>
  <c r="AM16" i="37" l="1"/>
  <c r="AU243" i="37"/>
  <c r="I11" i="26"/>
  <c r="G23" i="38"/>
  <c r="G26" i="38"/>
  <c r="F26" i="38"/>
  <c r="E26" i="38"/>
  <c r="AN20" i="26"/>
  <c r="M13" i="38"/>
  <c r="O262" i="37" l="1"/>
  <c r="R262" i="37" s="1"/>
  <c r="P262" i="37"/>
  <c r="Q262" i="37"/>
  <c r="T262" i="37" l="1"/>
  <c r="V262" i="37"/>
  <c r="S262" i="37"/>
  <c r="U262" i="37" s="1"/>
  <c r="AO260" i="37"/>
  <c r="AG260" i="37"/>
  <c r="N259" i="37"/>
  <c r="P259" i="37" s="1"/>
  <c r="M259" i="37"/>
  <c r="M260" i="37" s="1"/>
  <c r="O260" i="37" s="1"/>
  <c r="AV260" i="37"/>
  <c r="AE260" i="37"/>
  <c r="AC260" i="37"/>
  <c r="AD260" i="37" s="1"/>
  <c r="AK259" i="37"/>
  <c r="AL259" i="37" s="1"/>
  <c r="Q259" i="37"/>
  <c r="W262" i="37" l="1"/>
  <c r="BC262" i="37" s="1"/>
  <c r="O259" i="37"/>
  <c r="R259" i="37" s="1"/>
  <c r="S259" i="37" s="1"/>
  <c r="T259" i="37"/>
  <c r="N260" i="37"/>
  <c r="L23" i="38"/>
  <c r="O23" i="38" s="1"/>
  <c r="L15" i="26"/>
  <c r="U15" i="26"/>
  <c r="V15" i="26" s="1"/>
  <c r="W15" i="26"/>
  <c r="X15" i="26" s="1"/>
  <c r="Y15" i="26"/>
  <c r="Z15" i="26" s="1"/>
  <c r="AA15" i="26"/>
  <c r="AB15" i="26" s="1"/>
  <c r="AC15" i="26"/>
  <c r="AD15" i="26" s="1"/>
  <c r="AE15" i="26"/>
  <c r="AF15" i="26" s="1"/>
  <c r="BE262" i="37" l="1"/>
  <c r="BD262" i="37"/>
  <c r="W259" i="37"/>
  <c r="P260" i="37"/>
  <c r="T260" i="37" s="1"/>
  <c r="AH260" i="37" s="1"/>
  <c r="V259" i="37"/>
  <c r="U259" i="37"/>
  <c r="AX260" i="37" l="1"/>
  <c r="AQ260" i="37"/>
  <c r="AI260" i="37"/>
  <c r="AJ260" i="37" s="1"/>
  <c r="V260" i="37"/>
  <c r="AF260" i="37"/>
  <c r="U260" i="37"/>
  <c r="AC244" i="37"/>
  <c r="AD244" i="37" s="1"/>
  <c r="AC243" i="37"/>
  <c r="AD243" i="37" s="1"/>
  <c r="AC256" i="37"/>
  <c r="Y254" i="37"/>
  <c r="Y255" i="37"/>
  <c r="N254" i="37"/>
  <c r="Z254" i="37" s="1"/>
  <c r="AA254" i="37" s="1"/>
  <c r="AV256" i="37"/>
  <c r="AO256" i="37"/>
  <c r="AG256" i="37"/>
  <c r="Z256" i="37"/>
  <c r="AA256" i="37" s="1"/>
  <c r="P256" i="37"/>
  <c r="T256" i="37" s="1"/>
  <c r="O256" i="37"/>
  <c r="AV255" i="37"/>
  <c r="AO255" i="37"/>
  <c r="AG255" i="37"/>
  <c r="AC255" i="37"/>
  <c r="Z255" i="37"/>
  <c r="AA255" i="37" s="1"/>
  <c r="P255" i="37"/>
  <c r="T255" i="37" s="1"/>
  <c r="O255" i="37"/>
  <c r="AV254" i="37"/>
  <c r="AO254" i="37"/>
  <c r="AG254" i="37"/>
  <c r="AC254" i="37"/>
  <c r="AD254" i="37" s="1"/>
  <c r="O254" i="37"/>
  <c r="AC253" i="37"/>
  <c r="Q253" i="37"/>
  <c r="P253" i="37"/>
  <c r="T253" i="37" s="1"/>
  <c r="O253" i="37"/>
  <c r="R253" i="37" s="1"/>
  <c r="AC252" i="37"/>
  <c r="AV251" i="37"/>
  <c r="AO251" i="37"/>
  <c r="AG251" i="37"/>
  <c r="AE251" i="37"/>
  <c r="AC251" i="37"/>
  <c r="AD251" i="37" s="1"/>
  <c r="O251" i="37"/>
  <c r="N251" i="37"/>
  <c r="Z251" i="37" s="1"/>
  <c r="AA251" i="37" s="1"/>
  <c r="AV250" i="37"/>
  <c r="AO250" i="37"/>
  <c r="AG250" i="37"/>
  <c r="AE250" i="37"/>
  <c r="AC250" i="37"/>
  <c r="AD250" i="37" s="1"/>
  <c r="O250" i="37"/>
  <c r="N250" i="37"/>
  <c r="Z250" i="37" s="1"/>
  <c r="AA250" i="37" s="1"/>
  <c r="AV249" i="37"/>
  <c r="AO249" i="37"/>
  <c r="AG249" i="37"/>
  <c r="AE249" i="37"/>
  <c r="AC249" i="37"/>
  <c r="AD249" i="37" s="1"/>
  <c r="Y249" i="37"/>
  <c r="O249" i="37"/>
  <c r="N249" i="37"/>
  <c r="P249" i="37" s="1"/>
  <c r="T249" i="37" s="1"/>
  <c r="AV248" i="37"/>
  <c r="AO248" i="37"/>
  <c r="AG248" i="37"/>
  <c r="AE248" i="37"/>
  <c r="AC248" i="37"/>
  <c r="AD248" i="37" s="1"/>
  <c r="Y248" i="37"/>
  <c r="O248" i="37"/>
  <c r="N248" i="37"/>
  <c r="P248" i="37" s="1"/>
  <c r="T248" i="37" s="1"/>
  <c r="AV247" i="37"/>
  <c r="AO247" i="37"/>
  <c r="AG247" i="37"/>
  <c r="AE247" i="37"/>
  <c r="AC247" i="37"/>
  <c r="AD247" i="37" s="1"/>
  <c r="N247" i="37"/>
  <c r="Z247" i="37" s="1"/>
  <c r="AA247" i="37" s="1"/>
  <c r="M247" i="37"/>
  <c r="O247" i="37" s="1"/>
  <c r="AC246" i="37"/>
  <c r="AK246" i="37" s="1"/>
  <c r="Q246" i="37"/>
  <c r="S246" i="37" s="1"/>
  <c r="O246" i="37"/>
  <c r="R246" i="37" s="1"/>
  <c r="AV244" i="37"/>
  <c r="AO244" i="37"/>
  <c r="AG244" i="37"/>
  <c r="Z244" i="37"/>
  <c r="AA244" i="37" s="1"/>
  <c r="P244" i="37"/>
  <c r="T244" i="37" s="1"/>
  <c r="M244" i="37"/>
  <c r="O244" i="37" s="1"/>
  <c r="AV243" i="37"/>
  <c r="AO243" i="37"/>
  <c r="AG243" i="37"/>
  <c r="Z243" i="37"/>
  <c r="AA243" i="37" s="1"/>
  <c r="P243" i="37"/>
  <c r="T243" i="37" s="1"/>
  <c r="M243" i="37"/>
  <c r="O243" i="37" s="1"/>
  <c r="AC242" i="37"/>
  <c r="AD242" i="37" s="1"/>
  <c r="Q242" i="37"/>
  <c r="P242" i="37"/>
  <c r="T242" i="37" s="1"/>
  <c r="O242" i="37"/>
  <c r="R242" i="37" s="1"/>
  <c r="S242" i="37" s="1"/>
  <c r="P254" i="37" l="1"/>
  <c r="T254" i="37" s="1"/>
  <c r="AP260" i="37"/>
  <c r="AR260" i="37"/>
  <c r="AK260" i="37"/>
  <c r="AW260" i="37"/>
  <c r="AY260" i="37"/>
  <c r="Z248" i="37"/>
  <c r="AA248" i="37" s="1"/>
  <c r="AI248" i="37" s="1"/>
  <c r="AJ248" i="37" s="1"/>
  <c r="Z249" i="37"/>
  <c r="AA249" i="37" s="1"/>
  <c r="AX249" i="37" s="1"/>
  <c r="S253" i="37"/>
  <c r="W253" i="37" s="1"/>
  <c r="AH243" i="37"/>
  <c r="AD255" i="37"/>
  <c r="AD256" i="37"/>
  <c r="V256" i="37"/>
  <c r="AF256" i="37"/>
  <c r="AH256" i="37"/>
  <c r="U256" i="37"/>
  <c r="AI256" i="37"/>
  <c r="AJ256" i="37" s="1"/>
  <c r="AX256" i="37"/>
  <c r="AQ256" i="37"/>
  <c r="U243" i="37"/>
  <c r="AP243" i="37" s="1"/>
  <c r="AK242" i="37"/>
  <c r="AH248" i="37"/>
  <c r="V248" i="37"/>
  <c r="AF248" i="37"/>
  <c r="U248" i="37"/>
  <c r="AI255" i="37"/>
  <c r="AJ255" i="37" s="1"/>
  <c r="AX255" i="37"/>
  <c r="AQ255" i="37"/>
  <c r="AQ247" i="37"/>
  <c r="AI247" i="37"/>
  <c r="AX247" i="37"/>
  <c r="AH249" i="37"/>
  <c r="V249" i="37"/>
  <c r="AF249" i="37"/>
  <c r="U249" i="37"/>
  <c r="AQ251" i="37"/>
  <c r="AI251" i="37"/>
  <c r="AX251" i="37"/>
  <c r="AF244" i="37"/>
  <c r="AH244" i="37"/>
  <c r="U244" i="37"/>
  <c r="V244" i="37"/>
  <c r="AI250" i="37"/>
  <c r="AQ250" i="37"/>
  <c r="AX250" i="37"/>
  <c r="V253" i="37"/>
  <c r="U253" i="37"/>
  <c r="AH254" i="37"/>
  <c r="U254" i="37"/>
  <c r="V254" i="37"/>
  <c r="AF254" i="37"/>
  <c r="V242" i="37"/>
  <c r="W242" i="37"/>
  <c r="U242" i="37"/>
  <c r="AX243" i="37"/>
  <c r="AQ243" i="37"/>
  <c r="AI243" i="37"/>
  <c r="AJ243" i="37" s="1"/>
  <c r="AX244" i="37"/>
  <c r="AQ244" i="37"/>
  <c r="AI244" i="37"/>
  <c r="AJ244" i="37" s="1"/>
  <c r="AX254" i="37"/>
  <c r="AI254" i="37"/>
  <c r="AJ254" i="37" s="1"/>
  <c r="AQ254" i="37"/>
  <c r="V255" i="37"/>
  <c r="AH255" i="37"/>
  <c r="U255" i="37"/>
  <c r="AF255" i="37"/>
  <c r="V243" i="37"/>
  <c r="AD246" i="37"/>
  <c r="AF243" i="37"/>
  <c r="N246" i="37"/>
  <c r="P246" i="37" s="1"/>
  <c r="P247" i="37"/>
  <c r="T247" i="37" s="1"/>
  <c r="P251" i="37"/>
  <c r="T251" i="37" s="1"/>
  <c r="AD253" i="37"/>
  <c r="P250" i="37"/>
  <c r="T250" i="37" s="1"/>
  <c r="O26" i="38"/>
  <c r="V23" i="38"/>
  <c r="N23" i="38"/>
  <c r="M23" i="38"/>
  <c r="O16" i="38"/>
  <c r="N16" i="38"/>
  <c r="M16" i="38"/>
  <c r="U16" i="38"/>
  <c r="O13" i="38"/>
  <c r="N13" i="38"/>
  <c r="G13" i="38"/>
  <c r="F13" i="38"/>
  <c r="E13" i="38"/>
  <c r="AI249" i="37" l="1"/>
  <c r="AJ249" i="37" s="1"/>
  <c r="AQ249" i="37"/>
  <c r="AX248" i="37"/>
  <c r="AR243" i="37"/>
  <c r="AQ248" i="37"/>
  <c r="AR248" i="37" s="1"/>
  <c r="AL260" i="37"/>
  <c r="AM260" i="37" s="1"/>
  <c r="AS260" i="37"/>
  <c r="AK249" i="37"/>
  <c r="AK248" i="37"/>
  <c r="AK254" i="37"/>
  <c r="AK256" i="37"/>
  <c r="AK255" i="37"/>
  <c r="AP256" i="37"/>
  <c r="AR256" i="37"/>
  <c r="AW256" i="37"/>
  <c r="AY256" i="37"/>
  <c r="AK243" i="37"/>
  <c r="AK244" i="37"/>
  <c r="AJ247" i="37"/>
  <c r="AF247" i="37"/>
  <c r="U247" i="37"/>
  <c r="AH247" i="37"/>
  <c r="V247" i="37"/>
  <c r="AW243" i="37"/>
  <c r="AY243" i="37"/>
  <c r="AW254" i="37"/>
  <c r="AY254" i="37"/>
  <c r="AY249" i="37"/>
  <c r="AZ249" i="37" s="1"/>
  <c r="AW249" i="37"/>
  <c r="AY248" i="37"/>
  <c r="AW248" i="37"/>
  <c r="AF250" i="37"/>
  <c r="AH250" i="37"/>
  <c r="V250" i="37"/>
  <c r="AJ250" i="37"/>
  <c r="U250" i="37"/>
  <c r="AJ251" i="37"/>
  <c r="AF251" i="37"/>
  <c r="U251" i="37"/>
  <c r="AH251" i="37"/>
  <c r="V251" i="37"/>
  <c r="T246" i="37"/>
  <c r="W246" i="37" s="1"/>
  <c r="AY255" i="37"/>
  <c r="AW255" i="37"/>
  <c r="AP254" i="37"/>
  <c r="AR254" i="37"/>
  <c r="AW244" i="37"/>
  <c r="AY244" i="37"/>
  <c r="AP249" i="37"/>
  <c r="AR249" i="37"/>
  <c r="AP248" i="37"/>
  <c r="AP255" i="37"/>
  <c r="AR255" i="37"/>
  <c r="AR244" i="37"/>
  <c r="AP244" i="37"/>
  <c r="N26" i="38"/>
  <c r="T26" i="38" s="1"/>
  <c r="M26" i="38"/>
  <c r="R26" i="38" s="1"/>
  <c r="V26" i="38"/>
  <c r="Q23" i="38"/>
  <c r="U23" i="38"/>
  <c r="AA23" i="38" s="1"/>
  <c r="AD23" i="38" s="1"/>
  <c r="R23" i="38"/>
  <c r="S26" i="38"/>
  <c r="W26" i="38"/>
  <c r="X26" i="38"/>
  <c r="S23" i="38"/>
  <c r="P23" i="38"/>
  <c r="T23" i="38"/>
  <c r="X23" i="38"/>
  <c r="W23" i="38"/>
  <c r="P16" i="38"/>
  <c r="Q16" i="38"/>
  <c r="R16" i="38"/>
  <c r="AA16" i="38"/>
  <c r="AD16" i="38" s="1"/>
  <c r="V16" i="38"/>
  <c r="S16" i="38"/>
  <c r="W16" i="38"/>
  <c r="T16" i="38"/>
  <c r="X16" i="38"/>
  <c r="U13" i="38"/>
  <c r="P13" i="38"/>
  <c r="Q13" i="38"/>
  <c r="R13" i="38"/>
  <c r="AA13" i="38"/>
  <c r="V13" i="38"/>
  <c r="S13" i="38"/>
  <c r="W13" i="38"/>
  <c r="T13" i="38"/>
  <c r="X13" i="38"/>
  <c r="H19" i="36"/>
  <c r="G11" i="36"/>
  <c r="AS249" i="37" l="1"/>
  <c r="AT260" i="37"/>
  <c r="AZ260" i="37"/>
  <c r="BA260" i="37" s="1"/>
  <c r="AN260" i="37"/>
  <c r="BC259" i="37"/>
  <c r="AD13" i="38"/>
  <c r="U26" i="38"/>
  <c r="AA26" i="38" s="1"/>
  <c r="AS254" i="37"/>
  <c r="AZ254" i="37" s="1"/>
  <c r="AK247" i="37"/>
  <c r="AK250" i="37"/>
  <c r="AS248" i="37"/>
  <c r="AZ248" i="37" s="1"/>
  <c r="AL254" i="37"/>
  <c r="AM254" i="37" s="1"/>
  <c r="AN254" i="37" s="1"/>
  <c r="AS255" i="37"/>
  <c r="AS256" i="37"/>
  <c r="AZ256" i="37" s="1"/>
  <c r="AS244" i="37"/>
  <c r="AZ244" i="37" s="1"/>
  <c r="V246" i="37"/>
  <c r="U246" i="37"/>
  <c r="AP251" i="37"/>
  <c r="AR251" i="37"/>
  <c r="AY247" i="37"/>
  <c r="AW247" i="37"/>
  <c r="AP250" i="37"/>
  <c r="AR250" i="37"/>
  <c r="AK251" i="37"/>
  <c r="AY250" i="37"/>
  <c r="AW250" i="37"/>
  <c r="AW251" i="37"/>
  <c r="AY251" i="37"/>
  <c r="AR247" i="37"/>
  <c r="AP247" i="37"/>
  <c r="AS243" i="37"/>
  <c r="AL243" i="37"/>
  <c r="AM243" i="37" s="1"/>
  <c r="P26" i="38"/>
  <c r="Q26" i="38"/>
  <c r="AD26" i="38"/>
  <c r="AG26" i="38" s="1"/>
  <c r="AG23" i="38"/>
  <c r="Z26" i="38"/>
  <c r="AC26" i="38" s="1"/>
  <c r="Y26" i="38"/>
  <c r="AB26" i="38" s="1"/>
  <c r="AE26" i="38" s="1"/>
  <c r="Z23" i="38"/>
  <c r="AC23" i="38" s="1"/>
  <c r="Y23" i="38"/>
  <c r="AB23" i="38" s="1"/>
  <c r="AG16" i="38"/>
  <c r="Y16" i="38"/>
  <c r="AB16" i="38" s="1"/>
  <c r="AE16" i="38" s="1"/>
  <c r="Z16" i="38"/>
  <c r="AC16" i="38" s="1"/>
  <c r="AF16" i="38" s="1"/>
  <c r="AG13" i="38"/>
  <c r="Y13" i="38"/>
  <c r="AB13" i="38" s="1"/>
  <c r="AE13" i="38" s="1"/>
  <c r="Z13" i="38"/>
  <c r="AC13" i="38" s="1"/>
  <c r="BB260" i="37" l="1"/>
  <c r="BE259" i="37" s="1"/>
  <c r="AU260" i="37"/>
  <c r="BD259" i="37" s="1"/>
  <c r="AF13" i="38"/>
  <c r="E9" i="32"/>
  <c r="AE23" i="38"/>
  <c r="C9" i="32" s="1"/>
  <c r="AS247" i="37"/>
  <c r="AZ247" i="37" s="1"/>
  <c r="AZ250" i="37"/>
  <c r="AS250" i="37"/>
  <c r="AT254" i="37"/>
  <c r="AU254" i="37" s="1"/>
  <c r="BD254" i="37" s="1"/>
  <c r="BC254" i="37"/>
  <c r="AZ255" i="37"/>
  <c r="BA254" i="37" s="1"/>
  <c r="BB254" i="37" s="1"/>
  <c r="BE254" i="37" s="1"/>
  <c r="AZ251" i="37"/>
  <c r="AS251" i="37"/>
  <c r="AL247" i="37"/>
  <c r="AM247" i="37" s="1"/>
  <c r="AZ243" i="37"/>
  <c r="BA243" i="37" s="1"/>
  <c r="AT243" i="37"/>
  <c r="AN243" i="37"/>
  <c r="BC243" i="37"/>
  <c r="AF26" i="38"/>
  <c r="D9" i="32" s="1"/>
  <c r="AT247" i="37" l="1"/>
  <c r="BA247" i="37"/>
  <c r="BD243" i="37"/>
  <c r="BB243" i="37"/>
  <c r="BE243" i="37" s="1"/>
  <c r="AN247" i="37"/>
  <c r="AU247" i="37" s="1"/>
  <c r="BD247" i="37" s="1"/>
  <c r="BC247" i="37"/>
  <c r="N217" i="37"/>
  <c r="P217" i="37" s="1"/>
  <c r="N218" i="37"/>
  <c r="AV218" i="37"/>
  <c r="AO218" i="37"/>
  <c r="AG218" i="37"/>
  <c r="AE218" i="37"/>
  <c r="AC218" i="37"/>
  <c r="AD218" i="37" s="1"/>
  <c r="O218" i="37"/>
  <c r="AK217" i="37"/>
  <c r="AL217" i="37" s="1"/>
  <c r="Q217" i="37"/>
  <c r="O217" i="37"/>
  <c r="R217" i="37" s="1"/>
  <c r="N223" i="37"/>
  <c r="P223" i="37" s="1"/>
  <c r="M223" i="37"/>
  <c r="O223" i="37" s="1"/>
  <c r="R223" i="37" s="1"/>
  <c r="S223" i="37" s="1"/>
  <c r="AK223" i="37"/>
  <c r="AL223" i="37" s="1"/>
  <c r="Q223" i="37"/>
  <c r="BB247" i="37" l="1"/>
  <c r="BE247" i="37" s="1"/>
  <c r="T223" i="37"/>
  <c r="W223" i="37" s="1"/>
  <c r="BC223" i="37" s="1"/>
  <c r="S217" i="37"/>
  <c r="P218" i="37"/>
  <c r="T218" i="37" s="1"/>
  <c r="T217" i="37"/>
  <c r="V223" i="37" l="1"/>
  <c r="BD223" i="37"/>
  <c r="BE223" i="37"/>
  <c r="U223" i="37"/>
  <c r="AF218" i="37"/>
  <c r="U218" i="37"/>
  <c r="AH218" i="37"/>
  <c r="V218" i="37"/>
  <c r="U217" i="37"/>
  <c r="V217" i="37"/>
  <c r="W217" i="37"/>
  <c r="AQ218" i="37"/>
  <c r="AI218" i="37"/>
  <c r="AJ218" i="37" s="1"/>
  <c r="AX218" i="37"/>
  <c r="AV71" i="37"/>
  <c r="AO71" i="37"/>
  <c r="AG71" i="37"/>
  <c r="AC71" i="37"/>
  <c r="AD71" i="37" s="1"/>
  <c r="AA71" i="37"/>
  <c r="AQ71" i="37" s="1"/>
  <c r="P71" i="37"/>
  <c r="T71" i="37" s="1"/>
  <c r="O71" i="37"/>
  <c r="AV70" i="37"/>
  <c r="AO70" i="37"/>
  <c r="AG70" i="37"/>
  <c r="AC70" i="37"/>
  <c r="Z70" i="37"/>
  <c r="AA70" i="37" s="1"/>
  <c r="AQ70" i="37" s="1"/>
  <c r="P70" i="37"/>
  <c r="T70" i="37" s="1"/>
  <c r="AF70" i="37" s="1"/>
  <c r="O70" i="37"/>
  <c r="AV69" i="37"/>
  <c r="AO69" i="37"/>
  <c r="AG69" i="37"/>
  <c r="AC69" i="37"/>
  <c r="Z69" i="37"/>
  <c r="AA69" i="37" s="1"/>
  <c r="AX69" i="37" s="1"/>
  <c r="P69" i="37"/>
  <c r="T69" i="37" s="1"/>
  <c r="O69" i="37"/>
  <c r="AV68" i="37"/>
  <c r="AO68" i="37"/>
  <c r="AG68" i="37"/>
  <c r="AC68" i="37"/>
  <c r="Z68" i="37"/>
  <c r="AA68" i="37" s="1"/>
  <c r="P68" i="37"/>
  <c r="T68" i="37" s="1"/>
  <c r="U68" i="37" s="1"/>
  <c r="O68" i="37"/>
  <c r="AV67" i="37"/>
  <c r="AO67" i="37"/>
  <c r="AG67" i="37"/>
  <c r="AC67" i="37"/>
  <c r="Z67" i="37"/>
  <c r="AA67" i="37" s="1"/>
  <c r="AX67" i="37" s="1"/>
  <c r="P67" i="37"/>
  <c r="T67" i="37" s="1"/>
  <c r="V67" i="37" s="1"/>
  <c r="O67" i="37"/>
  <c r="AV66" i="37"/>
  <c r="AO66" i="37"/>
  <c r="AG66" i="37"/>
  <c r="AE66" i="37"/>
  <c r="AC66" i="37"/>
  <c r="Z66" i="37"/>
  <c r="AA66" i="37" s="1"/>
  <c r="AI66" i="37" s="1"/>
  <c r="P66" i="37"/>
  <c r="T66" i="37" s="1"/>
  <c r="O66" i="37"/>
  <c r="AV65" i="37"/>
  <c r="AO65" i="37"/>
  <c r="AG65" i="37"/>
  <c r="AE65" i="37"/>
  <c r="AC65" i="37"/>
  <c r="Z65" i="37"/>
  <c r="AA65" i="37" s="1"/>
  <c r="AI65" i="37" s="1"/>
  <c r="P65" i="37"/>
  <c r="T65" i="37" s="1"/>
  <c r="O65" i="37"/>
  <c r="AV64" i="37"/>
  <c r="AO64" i="37"/>
  <c r="AG64" i="37"/>
  <c r="AE64" i="37"/>
  <c r="AC64" i="37"/>
  <c r="Z64" i="37"/>
  <c r="AA64" i="37" s="1"/>
  <c r="AX64" i="37" s="1"/>
  <c r="P64" i="37"/>
  <c r="T64" i="37" s="1"/>
  <c r="O64" i="37"/>
  <c r="AC63" i="37"/>
  <c r="Q63" i="37"/>
  <c r="P63" i="37"/>
  <c r="O63" i="37"/>
  <c r="R63" i="37" s="1"/>
  <c r="S63" i="37" s="1"/>
  <c r="AH65" i="37" l="1"/>
  <c r="AK218" i="37"/>
  <c r="AR218" i="37"/>
  <c r="AP218" i="37"/>
  <c r="AW218" i="37"/>
  <c r="AY218" i="37"/>
  <c r="AD68" i="37"/>
  <c r="AY67" i="37"/>
  <c r="AH68" i="37"/>
  <c r="AF66" i="37"/>
  <c r="V68" i="37"/>
  <c r="AW68" i="37" s="1"/>
  <c r="AD70" i="37"/>
  <c r="AF67" i="37"/>
  <c r="AX71" i="37"/>
  <c r="AF64" i="37"/>
  <c r="AH64" i="37"/>
  <c r="AW67" i="37"/>
  <c r="AF69" i="37"/>
  <c r="V69" i="37"/>
  <c r="AD69" i="37"/>
  <c r="U64" i="37"/>
  <c r="AD64" i="37"/>
  <c r="U65" i="37"/>
  <c r="AJ65" i="37"/>
  <c r="AF65" i="37"/>
  <c r="AD65" i="37"/>
  <c r="AQ66" i="37"/>
  <c r="AX66" i="37"/>
  <c r="AP68" i="37"/>
  <c r="U69" i="37"/>
  <c r="U71" i="37"/>
  <c r="AH71" i="37"/>
  <c r="AF71" i="37"/>
  <c r="V64" i="37"/>
  <c r="V65" i="37"/>
  <c r="AH66" i="37"/>
  <c r="V66" i="37"/>
  <c r="AD66" i="37"/>
  <c r="AJ66" i="37"/>
  <c r="AI67" i="37"/>
  <c r="AJ67" i="37" s="1"/>
  <c r="AQ67" i="37"/>
  <c r="AX68" i="37"/>
  <c r="AQ68" i="37"/>
  <c r="AR68" i="37" s="1"/>
  <c r="AH69" i="37"/>
  <c r="V70" i="37"/>
  <c r="AH70" i="37"/>
  <c r="U70" i="37"/>
  <c r="V71" i="37"/>
  <c r="AQ64" i="37"/>
  <c r="AI64" i="37"/>
  <c r="AJ64" i="37" s="1"/>
  <c r="AX65" i="37"/>
  <c r="AQ65" i="37"/>
  <c r="U66" i="37"/>
  <c r="AH67" i="37"/>
  <c r="U67" i="37"/>
  <c r="AD67" i="37"/>
  <c r="AF68" i="37"/>
  <c r="AI68" i="37"/>
  <c r="AJ68" i="37" s="1"/>
  <c r="AQ69" i="37"/>
  <c r="AI69" i="37"/>
  <c r="AJ69" i="37" s="1"/>
  <c r="AI70" i="37"/>
  <c r="AJ70" i="37" s="1"/>
  <c r="AX70" i="37"/>
  <c r="AI71" i="37"/>
  <c r="AJ71" i="37" s="1"/>
  <c r="T63" i="37"/>
  <c r="W63" i="37" s="1"/>
  <c r="AL218" i="37" l="1"/>
  <c r="AM218" i="37" s="1"/>
  <c r="AS218" i="37"/>
  <c r="AK66" i="37"/>
  <c r="AY68" i="37"/>
  <c r="AK70" i="37"/>
  <c r="AK68" i="37"/>
  <c r="AS68" i="37" s="1"/>
  <c r="AK65" i="37"/>
  <c r="AY66" i="37"/>
  <c r="AK64" i="37"/>
  <c r="AK69" i="37"/>
  <c r="AR67" i="37"/>
  <c r="AP67" i="37"/>
  <c r="AW71" i="37"/>
  <c r="AY71" i="37"/>
  <c r="AP70" i="37"/>
  <c r="AR70" i="37"/>
  <c r="AW65" i="37"/>
  <c r="AY65" i="37"/>
  <c r="AP71" i="37"/>
  <c r="AR71" i="37"/>
  <c r="AR65" i="37"/>
  <c r="AP65" i="37"/>
  <c r="AY64" i="37"/>
  <c r="AW64" i="37"/>
  <c r="AP69" i="37"/>
  <c r="AR69" i="37"/>
  <c r="AW69" i="37"/>
  <c r="AY69" i="37"/>
  <c r="AK67" i="37"/>
  <c r="AP66" i="37"/>
  <c r="AR66" i="37"/>
  <c r="AS66" i="37" s="1"/>
  <c r="AY70" i="37"/>
  <c r="AW70" i="37"/>
  <c r="AW66" i="37"/>
  <c r="AS71" i="37"/>
  <c r="AR64" i="37"/>
  <c r="AP64" i="37"/>
  <c r="V63" i="37"/>
  <c r="U63" i="37"/>
  <c r="AZ218" i="37" l="1"/>
  <c r="BA218" i="37" s="1"/>
  <c r="AT218" i="37"/>
  <c r="AN218" i="37"/>
  <c r="BC217" i="37"/>
  <c r="AZ68" i="37"/>
  <c r="AZ66" i="37"/>
  <c r="AS65" i="37"/>
  <c r="AZ65" i="37" s="1"/>
  <c r="AS70" i="37"/>
  <c r="AZ70" i="37" s="1"/>
  <c r="AS67" i="37"/>
  <c r="AZ67" i="37" s="1"/>
  <c r="AZ71" i="37"/>
  <c r="AL64" i="37"/>
  <c r="AM64" i="37" s="1"/>
  <c r="AS64" i="37"/>
  <c r="AS69" i="37"/>
  <c r="AZ69" i="37" s="1"/>
  <c r="AU218" i="37" l="1"/>
  <c r="BD217" i="37" s="1"/>
  <c r="BB218" i="37"/>
  <c r="BE217" i="37" s="1"/>
  <c r="AZ64" i="37"/>
  <c r="AT64" i="37"/>
  <c r="AN64" i="37"/>
  <c r="BB64" i="37" s="1"/>
  <c r="BE64" i="37" s="1"/>
  <c r="BC64" i="37"/>
  <c r="AU64" i="37" l="1"/>
  <c r="BD64" i="37" s="1"/>
  <c r="AK233" i="37" l="1"/>
  <c r="Q233" i="37"/>
  <c r="T233" i="37" s="1"/>
  <c r="P233" i="37"/>
  <c r="W233" i="37" s="1"/>
  <c r="O233" i="37"/>
  <c r="R233" i="37" s="1"/>
  <c r="V233" i="37" s="1"/>
  <c r="Q220" i="37"/>
  <c r="Q235" i="37"/>
  <c r="S235" i="37" s="1"/>
  <c r="AK235" i="37"/>
  <c r="P235" i="37"/>
  <c r="O235" i="37"/>
  <c r="R235" i="37" s="1"/>
  <c r="AG221" i="37"/>
  <c r="AC221" i="37"/>
  <c r="AV221" i="37"/>
  <c r="AO221" i="37"/>
  <c r="AE221" i="37"/>
  <c r="AK220" i="37"/>
  <c r="AL220" i="37" s="1"/>
  <c r="O220" i="37"/>
  <c r="R220" i="37" s="1"/>
  <c r="S220" i="37" s="1"/>
  <c r="P220" i="37"/>
  <c r="T235" i="37" l="1"/>
  <c r="V235" i="37" s="1"/>
  <c r="W235" i="37"/>
  <c r="S233" i="37"/>
  <c r="U233" i="37" s="1"/>
  <c r="T220" i="37"/>
  <c r="AC62" i="37"/>
  <c r="AK62" i="37" s="1"/>
  <c r="AC215" i="37"/>
  <c r="AD215" i="37" s="1"/>
  <c r="AV215" i="37"/>
  <c r="AO215" i="37"/>
  <c r="AG215" i="37"/>
  <c r="AE215" i="37"/>
  <c r="AA215" i="37"/>
  <c r="AQ215" i="37" s="1"/>
  <c r="K214" i="37"/>
  <c r="AV214" i="37"/>
  <c r="AO214" i="37"/>
  <c r="AG214" i="37"/>
  <c r="AE214" i="37"/>
  <c r="AC214" i="37"/>
  <c r="AD214" i="37" s="1"/>
  <c r="K213" i="37"/>
  <c r="N213" i="37" s="1"/>
  <c r="U235" i="37" l="1"/>
  <c r="AD62" i="37"/>
  <c r="V220" i="37"/>
  <c r="U220" i="37"/>
  <c r="Z221" i="37"/>
  <c r="AA221" i="37" s="1"/>
  <c r="P221" i="37"/>
  <c r="K215" i="37"/>
  <c r="O215" i="37" s="1"/>
  <c r="O214" i="37"/>
  <c r="N214" i="37"/>
  <c r="AI215" i="37"/>
  <c r="AX215" i="37"/>
  <c r="AA214" i="37"/>
  <c r="AX214" i="37" s="1"/>
  <c r="AK212" i="37"/>
  <c r="AL212" i="37" s="1"/>
  <c r="Q212" i="37"/>
  <c r="S212" i="37" s="1"/>
  <c r="P212" i="37"/>
  <c r="O212" i="37"/>
  <c r="R212" i="37" s="1"/>
  <c r="AV213" i="37"/>
  <c r="AO213" i="37"/>
  <c r="AG213" i="37"/>
  <c r="AC213" i="37"/>
  <c r="Z213" i="37"/>
  <c r="AA213" i="37" s="1"/>
  <c r="AX213" i="37" s="1"/>
  <c r="P213" i="37"/>
  <c r="T213" i="37" s="1"/>
  <c r="O213" i="37"/>
  <c r="AV238" i="37"/>
  <c r="AO238" i="37"/>
  <c r="AG238" i="37"/>
  <c r="AE238" i="37"/>
  <c r="AC238" i="37"/>
  <c r="AD238" i="37" s="1"/>
  <c r="Y238" i="37"/>
  <c r="M238" i="37"/>
  <c r="O238" i="37" s="1"/>
  <c r="AK237" i="37"/>
  <c r="AL237" i="37" s="1"/>
  <c r="Q237" i="37"/>
  <c r="O237" i="37"/>
  <c r="R237" i="37" s="1"/>
  <c r="S237" i="37" s="1"/>
  <c r="N237" i="37"/>
  <c r="P237" i="37" s="1"/>
  <c r="T237" i="37" s="1"/>
  <c r="M229" i="37"/>
  <c r="N229" i="37" s="1"/>
  <c r="K229" i="37"/>
  <c r="Q229" i="37" s="1"/>
  <c r="AV231" i="37"/>
  <c r="AO231" i="37"/>
  <c r="AX231" i="37"/>
  <c r="N231" i="37"/>
  <c r="P231" i="37" s="1"/>
  <c r="M231" i="37"/>
  <c r="O231" i="37" s="1"/>
  <c r="R231" i="37" s="1"/>
  <c r="Q231" i="37"/>
  <c r="AO207" i="37"/>
  <c r="AO227" i="37"/>
  <c r="AQ227" i="37"/>
  <c r="AV227" i="37"/>
  <c r="AX227" i="37"/>
  <c r="Q226" i="37"/>
  <c r="S226" i="37" s="1"/>
  <c r="N226" i="37"/>
  <c r="P226" i="37" s="1"/>
  <c r="T226" i="37" s="1"/>
  <c r="O226" i="37"/>
  <c r="R226" i="37" s="1"/>
  <c r="O221" i="37" l="1"/>
  <c r="T221" i="37"/>
  <c r="AD221" i="37" s="1"/>
  <c r="AQ221" i="37"/>
  <c r="AI221" i="37"/>
  <c r="AX221" i="37"/>
  <c r="Z214" i="37"/>
  <c r="P214" i="37"/>
  <c r="T214" i="37" s="1"/>
  <c r="N215" i="37"/>
  <c r="P215" i="37" s="1"/>
  <c r="P229" i="37"/>
  <c r="T229" i="37" s="1"/>
  <c r="AI214" i="37"/>
  <c r="AQ214" i="37"/>
  <c r="O229" i="37"/>
  <c r="R229" i="37" s="1"/>
  <c r="S229" i="37" s="1"/>
  <c r="T212" i="37"/>
  <c r="W212" i="37" s="1"/>
  <c r="U213" i="37"/>
  <c r="AH213" i="37"/>
  <c r="V213" i="37"/>
  <c r="AD213" i="37"/>
  <c r="AI213" i="37"/>
  <c r="AJ213" i="37" s="1"/>
  <c r="AF213" i="37"/>
  <c r="AQ213" i="37"/>
  <c r="N238" i="37"/>
  <c r="S231" i="37"/>
  <c r="AQ231" i="37"/>
  <c r="W226" i="37"/>
  <c r="T231" i="37"/>
  <c r="AR227" i="37"/>
  <c r="AS227" i="37" s="1"/>
  <c r="AK226" i="37"/>
  <c r="V226" i="37"/>
  <c r="U226" i="37"/>
  <c r="W229" i="37" l="1"/>
  <c r="BC229" i="37" s="1"/>
  <c r="BE229" i="37" s="1"/>
  <c r="W231" i="37"/>
  <c r="BC231" i="37" s="1"/>
  <c r="BE231" i="37" s="1"/>
  <c r="AJ221" i="37"/>
  <c r="V221" i="37"/>
  <c r="AY221" i="37" s="1"/>
  <c r="BD220" i="37" s="1"/>
  <c r="AH221" i="37"/>
  <c r="AF221" i="37"/>
  <c r="U221" i="37"/>
  <c r="AP221" i="37" s="1"/>
  <c r="AJ214" i="37"/>
  <c r="V214" i="37"/>
  <c r="U214" i="37"/>
  <c r="AP214" i="37" s="1"/>
  <c r="AH214" i="37"/>
  <c r="AF214" i="37"/>
  <c r="V212" i="37"/>
  <c r="U212" i="37"/>
  <c r="AK213" i="37"/>
  <c r="AY213" i="37"/>
  <c r="AW213" i="37"/>
  <c r="AR213" i="37"/>
  <c r="AP213" i="37"/>
  <c r="U237" i="37"/>
  <c r="V237" i="37"/>
  <c r="P238" i="37"/>
  <c r="T238" i="37" s="1"/>
  <c r="Z238" i="37"/>
  <c r="AA238" i="37" s="1"/>
  <c r="W237" i="37"/>
  <c r="U229" i="37"/>
  <c r="V231" i="37"/>
  <c r="U231" i="37"/>
  <c r="AP227" i="37"/>
  <c r="AY227" i="37"/>
  <c r="AW227" i="37"/>
  <c r="BD229" i="37" l="1"/>
  <c r="BD231" i="37"/>
  <c r="AW221" i="37"/>
  <c r="AK231" i="37"/>
  <c r="AR221" i="37"/>
  <c r="AK221" i="37"/>
  <c r="AK214" i="37"/>
  <c r="T215" i="37" s="1"/>
  <c r="AW214" i="37"/>
  <c r="AY214" i="37"/>
  <c r="AR214" i="37"/>
  <c r="AS213" i="37"/>
  <c r="AX238" i="37"/>
  <c r="AQ238" i="37"/>
  <c r="AI238" i="37"/>
  <c r="AJ238" i="37" s="1"/>
  <c r="AH238" i="37"/>
  <c r="V238" i="37"/>
  <c r="AF238" i="37"/>
  <c r="U238" i="37"/>
  <c r="V229" i="37"/>
  <c r="AR231" i="37"/>
  <c r="AP231" i="37"/>
  <c r="AW231" i="37"/>
  <c r="AY231" i="37"/>
  <c r="AZ227" i="37"/>
  <c r="AC149" i="37"/>
  <c r="AD149" i="37" s="1"/>
  <c r="AC148" i="37"/>
  <c r="AC145" i="37"/>
  <c r="AS221" i="37" l="1"/>
  <c r="AZ221" i="37" s="1"/>
  <c r="BA221" i="37" s="1"/>
  <c r="AL221" i="37"/>
  <c r="AM221" i="37" s="1"/>
  <c r="BC220" i="37" s="1"/>
  <c r="AS214" i="37"/>
  <c r="AZ214" i="37" s="1"/>
  <c r="AZ213" i="37"/>
  <c r="AJ215" i="37"/>
  <c r="AF215" i="37"/>
  <c r="AH215" i="37"/>
  <c r="V215" i="37"/>
  <c r="U215" i="37"/>
  <c r="AW238" i="37"/>
  <c r="AY238" i="37"/>
  <c r="AP238" i="37"/>
  <c r="AR238" i="37"/>
  <c r="AK238" i="37"/>
  <c r="AS231" i="37"/>
  <c r="AZ231" i="37" s="1"/>
  <c r="BA231" i="37" s="1"/>
  <c r="BB231" i="37" s="1"/>
  <c r="AT227" i="37"/>
  <c r="AL227" i="37"/>
  <c r="AM227" i="37" s="1"/>
  <c r="X336" i="30"/>
  <c r="X335" i="30"/>
  <c r="X333" i="30"/>
  <c r="X332" i="30"/>
  <c r="X331" i="30"/>
  <c r="X329" i="30"/>
  <c r="X328" i="30"/>
  <c r="X327" i="30"/>
  <c r="X325" i="30"/>
  <c r="X324" i="30"/>
  <c r="X323" i="30"/>
  <c r="X320" i="30"/>
  <c r="X319" i="30"/>
  <c r="X318" i="30"/>
  <c r="X316" i="30"/>
  <c r="X315" i="30"/>
  <c r="X314" i="30"/>
  <c r="X306" i="30"/>
  <c r="X305" i="30"/>
  <c r="X304" i="30"/>
  <c r="X302" i="30"/>
  <c r="X301" i="30"/>
  <c r="X300" i="30"/>
  <c r="X293" i="30"/>
  <c r="X292" i="30"/>
  <c r="X291" i="30"/>
  <c r="X289" i="30"/>
  <c r="X288" i="30"/>
  <c r="X287" i="30"/>
  <c r="X285" i="30"/>
  <c r="X284" i="30"/>
  <c r="X283" i="30"/>
  <c r="X280" i="30"/>
  <c r="X279" i="30"/>
  <c r="X278" i="30"/>
  <c r="X276" i="30"/>
  <c r="X275" i="30"/>
  <c r="X274" i="30"/>
  <c r="X265" i="30"/>
  <c r="X264" i="30"/>
  <c r="X263" i="30"/>
  <c r="X259" i="30"/>
  <c r="X258" i="30"/>
  <c r="X257" i="30"/>
  <c r="X253" i="30"/>
  <c r="X252" i="30"/>
  <c r="X251" i="30"/>
  <c r="X248" i="30"/>
  <c r="X247" i="30"/>
  <c r="X246" i="30"/>
  <c r="X244" i="30"/>
  <c r="X243" i="30"/>
  <c r="X242" i="30"/>
  <c r="X240" i="30"/>
  <c r="X239" i="30"/>
  <c r="X238" i="30"/>
  <c r="X235" i="30"/>
  <c r="X234" i="30"/>
  <c r="X233" i="30"/>
  <c r="X231" i="30"/>
  <c r="X230" i="30"/>
  <c r="X229" i="30"/>
  <c r="X227" i="30"/>
  <c r="X226" i="30"/>
  <c r="X225" i="30"/>
  <c r="X222" i="30"/>
  <c r="X221" i="30"/>
  <c r="X220" i="30"/>
  <c r="X206" i="30"/>
  <c r="X205" i="30"/>
  <c r="X204" i="30"/>
  <c r="X202" i="30"/>
  <c r="X201" i="30"/>
  <c r="X200" i="30"/>
  <c r="X198" i="30"/>
  <c r="X197" i="30"/>
  <c r="X196" i="30"/>
  <c r="X192" i="30"/>
  <c r="X191" i="30"/>
  <c r="X190" i="30"/>
  <c r="X183" i="30"/>
  <c r="X182" i="30"/>
  <c r="X181" i="30"/>
  <c r="X178" i="30"/>
  <c r="X177" i="30"/>
  <c r="X176" i="30"/>
  <c r="X174" i="30"/>
  <c r="X173" i="30"/>
  <c r="X172" i="30"/>
  <c r="X168" i="30"/>
  <c r="X167" i="30"/>
  <c r="X166" i="30"/>
  <c r="X164" i="30"/>
  <c r="X163" i="30"/>
  <c r="X162" i="30"/>
  <c r="X160" i="30"/>
  <c r="X159" i="30"/>
  <c r="X158" i="30"/>
  <c r="X153" i="30"/>
  <c r="X152" i="30"/>
  <c r="X151" i="30"/>
  <c r="X149" i="30"/>
  <c r="X148" i="30"/>
  <c r="X147" i="30"/>
  <c r="X145" i="30"/>
  <c r="X144" i="30"/>
  <c r="X143" i="30"/>
  <c r="X141" i="30"/>
  <c r="X140" i="30"/>
  <c r="X139" i="30"/>
  <c r="X137" i="30"/>
  <c r="X136" i="30"/>
  <c r="X135" i="30"/>
  <c r="X133" i="30"/>
  <c r="X132" i="30"/>
  <c r="X131" i="30"/>
  <c r="X128" i="30"/>
  <c r="X127" i="30"/>
  <c r="X126" i="30"/>
  <c r="X115" i="30"/>
  <c r="X114" i="30"/>
  <c r="X113" i="30"/>
  <c r="X107" i="30"/>
  <c r="X106" i="30"/>
  <c r="X105" i="30"/>
  <c r="X101" i="30"/>
  <c r="X100" i="30"/>
  <c r="X99" i="30"/>
  <c r="X93" i="30"/>
  <c r="X92" i="30"/>
  <c r="X91" i="30"/>
  <c r="X87" i="30"/>
  <c r="X86" i="30"/>
  <c r="X85" i="30"/>
  <c r="X82" i="30"/>
  <c r="X81" i="30"/>
  <c r="X80" i="30"/>
  <c r="X77" i="30"/>
  <c r="X76" i="30"/>
  <c r="X75" i="30"/>
  <c r="X73" i="30"/>
  <c r="X72" i="30"/>
  <c r="X71" i="30"/>
  <c r="X69" i="30"/>
  <c r="X68" i="30"/>
  <c r="X67" i="30"/>
  <c r="X60" i="30"/>
  <c r="X59" i="30"/>
  <c r="X58" i="30"/>
  <c r="X55" i="30"/>
  <c r="X54" i="30"/>
  <c r="X53" i="30"/>
  <c r="X51" i="30"/>
  <c r="X50" i="30"/>
  <c r="X49" i="30"/>
  <c r="X47" i="30"/>
  <c r="X46" i="30"/>
  <c r="X45" i="30"/>
  <c r="X43" i="30"/>
  <c r="X42" i="30"/>
  <c r="X41" i="30"/>
  <c r="X38" i="30"/>
  <c r="X37" i="30"/>
  <c r="X36" i="30"/>
  <c r="X34" i="30"/>
  <c r="X33" i="30"/>
  <c r="X32" i="30"/>
  <c r="X28" i="30"/>
  <c r="X27" i="30"/>
  <c r="X26" i="30"/>
  <c r="X21" i="30"/>
  <c r="X20" i="30"/>
  <c r="X19" i="30"/>
  <c r="AC207" i="37"/>
  <c r="AD207" i="37" s="1"/>
  <c r="AC206" i="37"/>
  <c r="AK206" i="37" s="1"/>
  <c r="AC205" i="37"/>
  <c r="AC204" i="37"/>
  <c r="AC203" i="37"/>
  <c r="AD203" i="37" s="1"/>
  <c r="AC202" i="37"/>
  <c r="AD202" i="37" s="1"/>
  <c r="AC201" i="37"/>
  <c r="AD201" i="37" s="1"/>
  <c r="AC200" i="37"/>
  <c r="AC199" i="37"/>
  <c r="AK199" i="37" s="1"/>
  <c r="AC198" i="37"/>
  <c r="AC197" i="37"/>
  <c r="AC196" i="37"/>
  <c r="AC195" i="37"/>
  <c r="AD195" i="37" s="1"/>
  <c r="AC194" i="37"/>
  <c r="AC193" i="37"/>
  <c r="AD193" i="37" s="1"/>
  <c r="AC192" i="37"/>
  <c r="AC191" i="37"/>
  <c r="AK191" i="37" s="1"/>
  <c r="AC190" i="37"/>
  <c r="AK190" i="37" s="1"/>
  <c r="AC189" i="37"/>
  <c r="AD189" i="37" s="1"/>
  <c r="AC188" i="37"/>
  <c r="AC187" i="37"/>
  <c r="AD187" i="37" s="1"/>
  <c r="AC186" i="37"/>
  <c r="AD186" i="37" s="1"/>
  <c r="AC185" i="37"/>
  <c r="AC184" i="37"/>
  <c r="AC183" i="37"/>
  <c r="AD183" i="37" s="1"/>
  <c r="AC182" i="37"/>
  <c r="AD182" i="37" s="1"/>
  <c r="AC181" i="37"/>
  <c r="AD181" i="37" s="1"/>
  <c r="AC180" i="37"/>
  <c r="AC179" i="37"/>
  <c r="AK179" i="37" s="1"/>
  <c r="AC178" i="37"/>
  <c r="AC177" i="37"/>
  <c r="AC176" i="37"/>
  <c r="AC175" i="37"/>
  <c r="AK175" i="37" s="1"/>
  <c r="AC174" i="37"/>
  <c r="AD174" i="37" s="1"/>
  <c r="AC173" i="37"/>
  <c r="AD173" i="37" s="1"/>
  <c r="AC172" i="37"/>
  <c r="AC171" i="37"/>
  <c r="AC170" i="37"/>
  <c r="AD170" i="37" s="1"/>
  <c r="AC169" i="37"/>
  <c r="AD169" i="37" s="1"/>
  <c r="AC168" i="37"/>
  <c r="AC167" i="37"/>
  <c r="AC166" i="37"/>
  <c r="AK166" i="37" s="1"/>
  <c r="AC165" i="37"/>
  <c r="AC164" i="37"/>
  <c r="AC163" i="37"/>
  <c r="AD163" i="37" s="1"/>
  <c r="AC162" i="37"/>
  <c r="AD162" i="37" s="1"/>
  <c r="AC161" i="37"/>
  <c r="AD161" i="37" s="1"/>
  <c r="AC160" i="37"/>
  <c r="AC159" i="37"/>
  <c r="AK159" i="37" s="1"/>
  <c r="AC158" i="37"/>
  <c r="AD158" i="37" s="1"/>
  <c r="AC157" i="37"/>
  <c r="AD157" i="37" s="1"/>
  <c r="AC156" i="37"/>
  <c r="AC155" i="37"/>
  <c r="AD155" i="37" s="1"/>
  <c r="AC154" i="37"/>
  <c r="AC153" i="37"/>
  <c r="AD153" i="37" s="1"/>
  <c r="AC152" i="37"/>
  <c r="AC151" i="37"/>
  <c r="AD151" i="37" s="1"/>
  <c r="AC150" i="37"/>
  <c r="AC147" i="37"/>
  <c r="AK147" i="37" s="1"/>
  <c r="AC146" i="37"/>
  <c r="AD145" i="37"/>
  <c r="AC144" i="37"/>
  <c r="AC143" i="37"/>
  <c r="AK143" i="37" s="1"/>
  <c r="AC142" i="37"/>
  <c r="AD142" i="37" s="1"/>
  <c r="AC141" i="37"/>
  <c r="AC140" i="37"/>
  <c r="AC139" i="37"/>
  <c r="AD139" i="37" s="1"/>
  <c r="AC138" i="37"/>
  <c r="AK138" i="37" s="1"/>
  <c r="AC137" i="37"/>
  <c r="AK137" i="37" s="1"/>
  <c r="AC136" i="37"/>
  <c r="AC135" i="37"/>
  <c r="AK135" i="37" s="1"/>
  <c r="AC134" i="37"/>
  <c r="AK134" i="37" s="1"/>
  <c r="AC133" i="37"/>
  <c r="AD133" i="37" s="1"/>
  <c r="AC132" i="37"/>
  <c r="AC131" i="37"/>
  <c r="AK131" i="37" s="1"/>
  <c r="AC130" i="37"/>
  <c r="AD130" i="37" s="1"/>
  <c r="AC129" i="37"/>
  <c r="AC128" i="37"/>
  <c r="AC127" i="37"/>
  <c r="AD127" i="37" s="1"/>
  <c r="AC126" i="37"/>
  <c r="AK126" i="37" s="1"/>
  <c r="AC125" i="37"/>
  <c r="AD125" i="37" s="1"/>
  <c r="AC124" i="37"/>
  <c r="AD124" i="37" s="1"/>
  <c r="AC123" i="37"/>
  <c r="AC122" i="37"/>
  <c r="AC121" i="37"/>
  <c r="AC120" i="37"/>
  <c r="AC119" i="37"/>
  <c r="AD119" i="37" s="1"/>
  <c r="AC118" i="37"/>
  <c r="AD118" i="37" s="1"/>
  <c r="AC117" i="37"/>
  <c r="AD117" i="37" s="1"/>
  <c r="AC116" i="37"/>
  <c r="AC115" i="37"/>
  <c r="AK115" i="37" s="1"/>
  <c r="AC114" i="37"/>
  <c r="AK114" i="37" s="1"/>
  <c r="AL114" i="37" s="1"/>
  <c r="AM114" i="37" s="1"/>
  <c r="AN114" i="37" s="1"/>
  <c r="AC113" i="37"/>
  <c r="AD113" i="37" s="1"/>
  <c r="AC112" i="37"/>
  <c r="AC111" i="37"/>
  <c r="AK111" i="37" s="1"/>
  <c r="AC110" i="37"/>
  <c r="AC109" i="37"/>
  <c r="AD109" i="37" s="1"/>
  <c r="AC108" i="37"/>
  <c r="AD108" i="37" s="1"/>
  <c r="AC107" i="37"/>
  <c r="AC106" i="37"/>
  <c r="AC105" i="37"/>
  <c r="AD105" i="37" s="1"/>
  <c r="AC104" i="37"/>
  <c r="AC103" i="37"/>
  <c r="AD103" i="37" s="1"/>
  <c r="AC102" i="37"/>
  <c r="AK102" i="37" s="1"/>
  <c r="AC101" i="37"/>
  <c r="AD101" i="37" s="1"/>
  <c r="AC100" i="37"/>
  <c r="AC99" i="37"/>
  <c r="AD99" i="37" s="1"/>
  <c r="AC98" i="37"/>
  <c r="AD98" i="37" s="1"/>
  <c r="AC97" i="37"/>
  <c r="AD97" i="37" s="1"/>
  <c r="AC96" i="37"/>
  <c r="AC95" i="37"/>
  <c r="AK95" i="37" s="1"/>
  <c r="AC94" i="37"/>
  <c r="AD94" i="37" s="1"/>
  <c r="AC93" i="37"/>
  <c r="AC92" i="37"/>
  <c r="AC91" i="37"/>
  <c r="AC90" i="37"/>
  <c r="AC89" i="37"/>
  <c r="AK89" i="37" s="1"/>
  <c r="AC88" i="37"/>
  <c r="AD88" i="37" s="1"/>
  <c r="AC87" i="37"/>
  <c r="AC86" i="37"/>
  <c r="AC85" i="37"/>
  <c r="AC84" i="37"/>
  <c r="AC83" i="37"/>
  <c r="AC82" i="37"/>
  <c r="AD82" i="37" s="1"/>
  <c r="AC81" i="37"/>
  <c r="AD81" i="37" s="1"/>
  <c r="AC80" i="37"/>
  <c r="AC79" i="37"/>
  <c r="AD79" i="37" s="1"/>
  <c r="AC78" i="37"/>
  <c r="AD78" i="37" s="1"/>
  <c r="AC77" i="37"/>
  <c r="AD77" i="37" s="1"/>
  <c r="AC76" i="37"/>
  <c r="AC75" i="37"/>
  <c r="AK75" i="37" s="1"/>
  <c r="AC74" i="37"/>
  <c r="AD74" i="37" s="1"/>
  <c r="AC73" i="37"/>
  <c r="AD73" i="37" s="1"/>
  <c r="AC72" i="37"/>
  <c r="AC61" i="37"/>
  <c r="AD61" i="37" s="1"/>
  <c r="AC60" i="37"/>
  <c r="AC59" i="37"/>
  <c r="AK59" i="37" s="1"/>
  <c r="AC58" i="37"/>
  <c r="AD58" i="37" s="1"/>
  <c r="AC57" i="37"/>
  <c r="AD57" i="37" s="1"/>
  <c r="AC56" i="37"/>
  <c r="AC55" i="37"/>
  <c r="AK55" i="37" s="1"/>
  <c r="AC54" i="37"/>
  <c r="AD54" i="37" s="1"/>
  <c r="AC53" i="37"/>
  <c r="AC52" i="37"/>
  <c r="AC51" i="37"/>
  <c r="AK51" i="37" s="1"/>
  <c r="AC50" i="37"/>
  <c r="AD50" i="37" s="1"/>
  <c r="AC49" i="37"/>
  <c r="AD49" i="37" s="1"/>
  <c r="AC48" i="37"/>
  <c r="AD48" i="37" s="1"/>
  <c r="AC47" i="37"/>
  <c r="AD47" i="37" s="1"/>
  <c r="AC46" i="37"/>
  <c r="AK46" i="37" s="1"/>
  <c r="AC45" i="37"/>
  <c r="AC44" i="37"/>
  <c r="AD44" i="37" s="1"/>
  <c r="AC43" i="37"/>
  <c r="AD43" i="37" s="1"/>
  <c r="AC42" i="37"/>
  <c r="AD42" i="37" s="1"/>
  <c r="AC41" i="37"/>
  <c r="AD41" i="37" s="1"/>
  <c r="AC40" i="37"/>
  <c r="AC39" i="37"/>
  <c r="AD39" i="37" s="1"/>
  <c r="AC38" i="37"/>
  <c r="AD38" i="37" s="1"/>
  <c r="AC37" i="37"/>
  <c r="AD37" i="37" s="1"/>
  <c r="AC36" i="37"/>
  <c r="AD36" i="37" s="1"/>
  <c r="AC35" i="37"/>
  <c r="AK35" i="37" s="1"/>
  <c r="AC34" i="37"/>
  <c r="AK34" i="37" s="1"/>
  <c r="AC33" i="37"/>
  <c r="AD33" i="37" s="1"/>
  <c r="AC32" i="37"/>
  <c r="AC31" i="37"/>
  <c r="AD31" i="37" s="1"/>
  <c r="AC30" i="37"/>
  <c r="AK30" i="37" s="1"/>
  <c r="AC29" i="37"/>
  <c r="AD29" i="37" s="1"/>
  <c r="AC28" i="37"/>
  <c r="AD28" i="37" s="1"/>
  <c r="AC27" i="37"/>
  <c r="AK27" i="37" s="1"/>
  <c r="AC26" i="37"/>
  <c r="AK26" i="37" s="1"/>
  <c r="AC25" i="37"/>
  <c r="AD25" i="37" s="1"/>
  <c r="AC24" i="37"/>
  <c r="AD24" i="37" s="1"/>
  <c r="AC23" i="37"/>
  <c r="AK23" i="37" s="1"/>
  <c r="AC22" i="37"/>
  <c r="AD22" i="37" s="1"/>
  <c r="AC21" i="37"/>
  <c r="AK21" i="37" s="1"/>
  <c r="AC20" i="37"/>
  <c r="AC19" i="37"/>
  <c r="AD19" i="37" s="1"/>
  <c r="AC18" i="37"/>
  <c r="AC17" i="37"/>
  <c r="AD17" i="37" s="1"/>
  <c r="AC16" i="37"/>
  <c r="AD16" i="37" s="1"/>
  <c r="I334" i="30"/>
  <c r="I333" i="30"/>
  <c r="I332" i="30"/>
  <c r="I331" i="30"/>
  <c r="I320" i="30"/>
  <c r="I319" i="30"/>
  <c r="I318" i="30"/>
  <c r="I316" i="30"/>
  <c r="I315" i="30"/>
  <c r="I306" i="30"/>
  <c r="I305" i="30"/>
  <c r="I304" i="30"/>
  <c r="I302" i="30"/>
  <c r="I301" i="30"/>
  <c r="I300" i="30"/>
  <c r="I293" i="30"/>
  <c r="I292" i="30"/>
  <c r="I291" i="30"/>
  <c r="I285" i="30"/>
  <c r="I284" i="30"/>
  <c r="I283" i="30"/>
  <c r="I280" i="30"/>
  <c r="I279" i="30"/>
  <c r="I278" i="30"/>
  <c r="I276" i="30"/>
  <c r="I275" i="30"/>
  <c r="I274" i="30"/>
  <c r="I265" i="30"/>
  <c r="I264" i="30"/>
  <c r="I263" i="30"/>
  <c r="I262" i="30"/>
  <c r="I261" i="30"/>
  <c r="I260" i="30"/>
  <c r="I259" i="30"/>
  <c r="I258" i="30"/>
  <c r="I257" i="30"/>
  <c r="I239" i="30"/>
  <c r="I238" i="30"/>
  <c r="I226" i="30"/>
  <c r="I225" i="30"/>
  <c r="I222" i="30"/>
  <c r="I221" i="30"/>
  <c r="I220" i="30"/>
  <c r="I219" i="30"/>
  <c r="I218" i="30"/>
  <c r="I217" i="30"/>
  <c r="I216" i="30"/>
  <c r="I215" i="30"/>
  <c r="I214" i="30"/>
  <c r="I213" i="30"/>
  <c r="I212" i="30"/>
  <c r="I211" i="30"/>
  <c r="I210" i="30"/>
  <c r="I209" i="30"/>
  <c r="I208" i="30"/>
  <c r="I207" i="30"/>
  <c r="I206" i="30"/>
  <c r="I205" i="30"/>
  <c r="I204" i="30"/>
  <c r="I203" i="30"/>
  <c r="I202" i="30"/>
  <c r="I201" i="30"/>
  <c r="I200" i="30"/>
  <c r="I198" i="30"/>
  <c r="I197" i="30"/>
  <c r="I196" i="30"/>
  <c r="I195" i="30"/>
  <c r="I194" i="30"/>
  <c r="I193" i="30"/>
  <c r="I192" i="30"/>
  <c r="I191" i="30"/>
  <c r="I190" i="30"/>
  <c r="I188" i="30"/>
  <c r="I187" i="30"/>
  <c r="I186" i="30"/>
  <c r="I185" i="30"/>
  <c r="I183" i="30"/>
  <c r="I177" i="30"/>
  <c r="I176" i="30"/>
  <c r="I175" i="30"/>
  <c r="I174" i="30"/>
  <c r="I173" i="30"/>
  <c r="I172" i="30"/>
  <c r="I140" i="30"/>
  <c r="I139" i="30"/>
  <c r="I128" i="30"/>
  <c r="I127" i="30"/>
  <c r="I126" i="30"/>
  <c r="I123" i="30"/>
  <c r="I122" i="30"/>
  <c r="I120" i="30"/>
  <c r="I119" i="30"/>
  <c r="I118" i="30"/>
  <c r="I117" i="30"/>
  <c r="I115" i="30"/>
  <c r="I114" i="30"/>
  <c r="I113" i="30"/>
  <c r="I112" i="30"/>
  <c r="I111" i="30"/>
  <c r="I110" i="30"/>
  <c r="I109" i="30"/>
  <c r="I108" i="30"/>
  <c r="I107" i="30"/>
  <c r="I106" i="30"/>
  <c r="I87" i="30"/>
  <c r="I86" i="30"/>
  <c r="I85" i="30"/>
  <c r="I84" i="30"/>
  <c r="I83" i="30"/>
  <c r="I82" i="30"/>
  <c r="I81" i="30"/>
  <c r="I80" i="30"/>
  <c r="I69" i="30"/>
  <c r="I68" i="30"/>
  <c r="I67" i="30"/>
  <c r="I66" i="30"/>
  <c r="I65" i="30"/>
  <c r="I64" i="30"/>
  <c r="I63" i="30"/>
  <c r="I62" i="30"/>
  <c r="I61" i="30"/>
  <c r="I60" i="30"/>
  <c r="I59" i="30"/>
  <c r="I58" i="30"/>
  <c r="I57" i="30"/>
  <c r="I56" i="30"/>
  <c r="I55" i="30"/>
  <c r="I54" i="30"/>
  <c r="I53" i="30"/>
  <c r="I52" i="30"/>
  <c r="I51" i="30"/>
  <c r="I50" i="30"/>
  <c r="I49" i="30"/>
  <c r="I47" i="30"/>
  <c r="I46" i="30"/>
  <c r="I45" i="30"/>
  <c r="I43" i="30"/>
  <c r="I42" i="30"/>
  <c r="I41" i="30"/>
  <c r="I38" i="30"/>
  <c r="I37" i="30"/>
  <c r="I36" i="30"/>
  <c r="I34" i="30"/>
  <c r="I33" i="30"/>
  <c r="I32" i="30"/>
  <c r="I29" i="30"/>
  <c r="I28" i="30"/>
  <c r="I27" i="30"/>
  <c r="I26" i="30"/>
  <c r="I21" i="30"/>
  <c r="I20" i="30"/>
  <c r="I19" i="30"/>
  <c r="I16" i="30"/>
  <c r="AK333" i="30"/>
  <c r="AK332" i="30"/>
  <c r="AK331" i="30"/>
  <c r="AK329" i="30"/>
  <c r="AK328" i="30"/>
  <c r="AK327" i="30"/>
  <c r="AK325" i="30"/>
  <c r="AK324" i="30"/>
  <c r="AK323" i="30"/>
  <c r="AK320" i="30"/>
  <c r="AK319" i="30"/>
  <c r="AK318" i="30"/>
  <c r="AK316" i="30"/>
  <c r="AK315" i="30"/>
  <c r="AK314" i="30"/>
  <c r="AK306" i="30"/>
  <c r="AK305" i="30"/>
  <c r="AK304" i="30"/>
  <c r="AK302" i="30"/>
  <c r="AK301" i="30"/>
  <c r="AK300" i="30"/>
  <c r="AK293" i="30"/>
  <c r="AK292" i="30"/>
  <c r="AK291" i="30"/>
  <c r="AK289" i="30"/>
  <c r="AK288" i="30"/>
  <c r="AK287" i="30"/>
  <c r="AK285" i="30"/>
  <c r="AK284" i="30"/>
  <c r="AK283" i="30"/>
  <c r="AK280" i="30"/>
  <c r="AK279" i="30"/>
  <c r="AK278" i="30"/>
  <c r="AK276" i="30"/>
  <c r="AK275" i="30"/>
  <c r="AK274" i="30"/>
  <c r="AK265" i="30"/>
  <c r="AK264" i="30"/>
  <c r="AK263" i="30"/>
  <c r="AK259" i="30"/>
  <c r="AK258" i="30"/>
  <c r="AK257" i="30"/>
  <c r="AK253" i="30"/>
  <c r="AK252" i="30"/>
  <c r="AK251" i="30"/>
  <c r="AK248" i="30"/>
  <c r="AK247" i="30"/>
  <c r="AK246" i="30"/>
  <c r="AK244" i="30"/>
  <c r="AK243" i="30"/>
  <c r="AK242" i="30"/>
  <c r="AK240" i="30"/>
  <c r="AK239" i="30"/>
  <c r="AK238" i="30"/>
  <c r="AK235" i="30"/>
  <c r="AK234" i="30"/>
  <c r="AK233" i="30"/>
  <c r="AK231" i="30"/>
  <c r="AK230" i="30"/>
  <c r="AK229" i="30"/>
  <c r="AK227" i="30"/>
  <c r="AK226" i="30"/>
  <c r="AK225" i="30"/>
  <c r="AK222" i="30"/>
  <c r="AK221" i="30"/>
  <c r="AK220" i="30"/>
  <c r="AK206" i="30"/>
  <c r="AK205" i="30"/>
  <c r="AK204" i="30"/>
  <c r="AK202" i="30"/>
  <c r="AK201" i="30"/>
  <c r="AK200" i="30"/>
  <c r="AK198" i="30"/>
  <c r="AK197" i="30"/>
  <c r="AK196" i="30"/>
  <c r="AK192" i="30"/>
  <c r="AK191" i="30"/>
  <c r="AK190" i="30"/>
  <c r="AK183" i="30"/>
  <c r="AK182" i="30"/>
  <c r="AK181" i="30"/>
  <c r="AK178" i="30"/>
  <c r="AK177" i="30"/>
  <c r="AK176" i="30"/>
  <c r="AK174" i="30"/>
  <c r="AK173" i="30"/>
  <c r="AK172" i="30"/>
  <c r="AK168" i="30"/>
  <c r="AK167" i="30"/>
  <c r="AK166" i="30"/>
  <c r="AK164" i="30"/>
  <c r="AK163" i="30"/>
  <c r="AK162" i="30"/>
  <c r="AK160" i="30"/>
  <c r="AK159" i="30"/>
  <c r="AK158" i="30"/>
  <c r="AK153" i="30"/>
  <c r="AK152" i="30"/>
  <c r="AK151" i="30"/>
  <c r="AK149" i="30"/>
  <c r="AK148" i="30"/>
  <c r="AK147" i="30"/>
  <c r="AK145" i="30"/>
  <c r="AK144" i="30"/>
  <c r="AK143" i="30"/>
  <c r="AK141" i="30"/>
  <c r="AK140" i="30"/>
  <c r="AK139" i="30"/>
  <c r="AK137" i="30"/>
  <c r="AK136" i="30"/>
  <c r="AK135" i="30"/>
  <c r="AK133" i="30"/>
  <c r="AK132" i="30"/>
  <c r="AK131" i="30"/>
  <c r="AK128" i="30"/>
  <c r="AK127" i="30"/>
  <c r="AK126" i="30"/>
  <c r="AK115" i="30"/>
  <c r="AK114" i="30"/>
  <c r="AK113" i="30"/>
  <c r="AK107" i="30"/>
  <c r="AK106" i="30"/>
  <c r="AK105" i="30"/>
  <c r="AK101" i="30"/>
  <c r="AK100" i="30"/>
  <c r="AK99" i="30"/>
  <c r="AK93" i="30"/>
  <c r="AK92" i="30"/>
  <c r="AK91" i="30"/>
  <c r="AK87" i="30"/>
  <c r="AK86" i="30"/>
  <c r="AK85" i="30"/>
  <c r="AK82" i="30"/>
  <c r="AK81" i="30"/>
  <c r="AK80" i="30"/>
  <c r="AK77" i="30"/>
  <c r="AK76" i="30"/>
  <c r="AK75" i="30"/>
  <c r="AK73" i="30"/>
  <c r="AK72" i="30"/>
  <c r="AK71" i="30"/>
  <c r="AK69" i="30"/>
  <c r="AK68" i="30"/>
  <c r="AK67" i="30"/>
  <c r="AK60" i="30"/>
  <c r="AK59" i="30"/>
  <c r="AK58" i="30"/>
  <c r="AK55" i="30"/>
  <c r="AK54" i="30"/>
  <c r="AK53" i="30"/>
  <c r="AK51" i="30"/>
  <c r="AK50" i="30"/>
  <c r="AK49" i="30"/>
  <c r="AK47" i="30"/>
  <c r="AK46" i="30"/>
  <c r="AK45" i="30"/>
  <c r="AK43" i="30"/>
  <c r="AK42" i="30"/>
  <c r="AK41" i="30"/>
  <c r="AK38" i="30"/>
  <c r="AK37" i="30"/>
  <c r="AK36" i="30"/>
  <c r="AK34" i="30"/>
  <c r="AK33" i="30"/>
  <c r="AK32" i="30"/>
  <c r="AK28" i="30"/>
  <c r="AK27" i="30"/>
  <c r="AK26" i="30"/>
  <c r="AK21" i="30"/>
  <c r="AK20" i="30"/>
  <c r="AK19" i="30"/>
  <c r="M20" i="26"/>
  <c r="M16" i="26"/>
  <c r="M24" i="26"/>
  <c r="D11" i="32"/>
  <c r="Z138" i="30"/>
  <c r="AL299" i="30"/>
  <c r="AG299" i="30"/>
  <c r="AB299" i="30"/>
  <c r="Z299" i="30"/>
  <c r="V219" i="30"/>
  <c r="V208" i="30"/>
  <c r="W208" i="30" s="1"/>
  <c r="V194" i="30"/>
  <c r="W194" i="30" s="1"/>
  <c r="V16" i="30"/>
  <c r="W16" i="30" s="1"/>
  <c r="V29" i="30"/>
  <c r="AE148" i="37"/>
  <c r="AC208" i="37"/>
  <c r="AC209" i="37"/>
  <c r="AC210" i="37"/>
  <c r="AC232" i="37"/>
  <c r="AC230" i="37"/>
  <c r="AC211" i="37"/>
  <c r="AC219" i="37"/>
  <c r="AC234" i="37"/>
  <c r="AC236" i="37"/>
  <c r="AC222" i="37"/>
  <c r="AL94" i="30"/>
  <c r="AG94" i="30"/>
  <c r="AB94" i="30"/>
  <c r="Z94" i="30"/>
  <c r="W94" i="30"/>
  <c r="X94" i="30" s="1"/>
  <c r="Y94" i="30" s="1"/>
  <c r="W70" i="30"/>
  <c r="AL70" i="30"/>
  <c r="AG70" i="30"/>
  <c r="AB70" i="30"/>
  <c r="Z70" i="30"/>
  <c r="R95" i="30"/>
  <c r="W95" i="30"/>
  <c r="Z95" i="30"/>
  <c r="AB95" i="30"/>
  <c r="AG95" i="30"/>
  <c r="AL95" i="30"/>
  <c r="AL326" i="30"/>
  <c r="AG326" i="30"/>
  <c r="AB326" i="30"/>
  <c r="Z326" i="30"/>
  <c r="AL150" i="30"/>
  <c r="AG150" i="30"/>
  <c r="AB150" i="30"/>
  <c r="Z150" i="30"/>
  <c r="AL112" i="30"/>
  <c r="AG112" i="30"/>
  <c r="AB112" i="30"/>
  <c r="Z112" i="30"/>
  <c r="AL111" i="30"/>
  <c r="AG111" i="30"/>
  <c r="AB111" i="30"/>
  <c r="Z111" i="30"/>
  <c r="AL110" i="30"/>
  <c r="AG110" i="30"/>
  <c r="AB110" i="30"/>
  <c r="Z110" i="30"/>
  <c r="AL109" i="30"/>
  <c r="AG109" i="30"/>
  <c r="AB109" i="30"/>
  <c r="Z109" i="30"/>
  <c r="AL108" i="30"/>
  <c r="AG108" i="30"/>
  <c r="AB108" i="30"/>
  <c r="Z108" i="30"/>
  <c r="AL175" i="30"/>
  <c r="AG175" i="30"/>
  <c r="AB175" i="30"/>
  <c r="Z175" i="30"/>
  <c r="AL245" i="30"/>
  <c r="AG245" i="30"/>
  <c r="AB245" i="30"/>
  <c r="Z245" i="30"/>
  <c r="AL74" i="30"/>
  <c r="AG74" i="30"/>
  <c r="AB74" i="30"/>
  <c r="Z74" i="30"/>
  <c r="AL90" i="30"/>
  <c r="AG90" i="30"/>
  <c r="AB90" i="30"/>
  <c r="Z90" i="30"/>
  <c r="AL89" i="30"/>
  <c r="AG89" i="30"/>
  <c r="AB89" i="30"/>
  <c r="Z89" i="30"/>
  <c r="AL88" i="30"/>
  <c r="AG88" i="30"/>
  <c r="AB88" i="30"/>
  <c r="Z88" i="30"/>
  <c r="AL290" i="30"/>
  <c r="AG290" i="30"/>
  <c r="AB290" i="30"/>
  <c r="Z290" i="30"/>
  <c r="AL130" i="30"/>
  <c r="AG130" i="30"/>
  <c r="AB130" i="30"/>
  <c r="Z130" i="30"/>
  <c r="AL129" i="30"/>
  <c r="AG129" i="30"/>
  <c r="AB129" i="30"/>
  <c r="Z129" i="30"/>
  <c r="AL84" i="30"/>
  <c r="AG84" i="30"/>
  <c r="AB84" i="30"/>
  <c r="Z84" i="30"/>
  <c r="AL83" i="30"/>
  <c r="AG83" i="30"/>
  <c r="AB83" i="30"/>
  <c r="Z83" i="30"/>
  <c r="AL35" i="30"/>
  <c r="AG35" i="30"/>
  <c r="AB35" i="30"/>
  <c r="Z35" i="30"/>
  <c r="AL199" i="30"/>
  <c r="AG199" i="30"/>
  <c r="AB199" i="30"/>
  <c r="Z199" i="30"/>
  <c r="AL313" i="30"/>
  <c r="AG313" i="30"/>
  <c r="AB313" i="30"/>
  <c r="Z313" i="30"/>
  <c r="AL312" i="30"/>
  <c r="AG312" i="30"/>
  <c r="AB312" i="30"/>
  <c r="Z312" i="30"/>
  <c r="AL311" i="30"/>
  <c r="AG311" i="30"/>
  <c r="AB311" i="30"/>
  <c r="Z311" i="30"/>
  <c r="AL310" i="30"/>
  <c r="AG310" i="30"/>
  <c r="AB310" i="30"/>
  <c r="Z310" i="30"/>
  <c r="AL309" i="30"/>
  <c r="AG309" i="30"/>
  <c r="AB309" i="30"/>
  <c r="Z309" i="30"/>
  <c r="AL308" i="30"/>
  <c r="AG308" i="30"/>
  <c r="AB308" i="30"/>
  <c r="Z308" i="30"/>
  <c r="AL307" i="30"/>
  <c r="AG307" i="30"/>
  <c r="AB307" i="30"/>
  <c r="Z307" i="30"/>
  <c r="AL40" i="30"/>
  <c r="AG40" i="30"/>
  <c r="AB40" i="30"/>
  <c r="Z40" i="30"/>
  <c r="AL39" i="30"/>
  <c r="AG39" i="30"/>
  <c r="AB39" i="30"/>
  <c r="Z39" i="30"/>
  <c r="AL232" i="30"/>
  <c r="AG232" i="30"/>
  <c r="AB232" i="30"/>
  <c r="Z232" i="30"/>
  <c r="AL224" i="30"/>
  <c r="AG224" i="30"/>
  <c r="AB224" i="30"/>
  <c r="Z224" i="30"/>
  <c r="AL223" i="30"/>
  <c r="AG223" i="30"/>
  <c r="AB223" i="30"/>
  <c r="Z223" i="30"/>
  <c r="AL277" i="30"/>
  <c r="AG277" i="30"/>
  <c r="AB277" i="30"/>
  <c r="Z277" i="30"/>
  <c r="AL146" i="30"/>
  <c r="AG146" i="30"/>
  <c r="AB146" i="30"/>
  <c r="Z146" i="30"/>
  <c r="AL171" i="30"/>
  <c r="AG171" i="30"/>
  <c r="AB171" i="30"/>
  <c r="Z171" i="30"/>
  <c r="AL170" i="30"/>
  <c r="AG170" i="30"/>
  <c r="AB170" i="30"/>
  <c r="Z170" i="30"/>
  <c r="AL169" i="30"/>
  <c r="AG169" i="30"/>
  <c r="AB169" i="30"/>
  <c r="Z169" i="30"/>
  <c r="AL217" i="30"/>
  <c r="AG217" i="30"/>
  <c r="AB217" i="30"/>
  <c r="AL215" i="30"/>
  <c r="AG215" i="30"/>
  <c r="AB215" i="30"/>
  <c r="AL211" i="30"/>
  <c r="AG211" i="30"/>
  <c r="AB211" i="30"/>
  <c r="AL209" i="30"/>
  <c r="AG209" i="30"/>
  <c r="AB209" i="30"/>
  <c r="Z61" i="30"/>
  <c r="N172" i="37"/>
  <c r="K172" i="37"/>
  <c r="K173" i="37" s="1"/>
  <c r="O173" i="37" s="1"/>
  <c r="Z170" i="37"/>
  <c r="AA170" i="37" s="1"/>
  <c r="AI170" i="37" s="1"/>
  <c r="AG170" i="37"/>
  <c r="AE170" i="37"/>
  <c r="P170" i="37"/>
  <c r="T170" i="37" s="1"/>
  <c r="O170" i="37"/>
  <c r="V25" i="30"/>
  <c r="W25" i="30" s="1"/>
  <c r="V24" i="30"/>
  <c r="M108" i="37"/>
  <c r="M109" i="37" s="1"/>
  <c r="O109" i="37" s="1"/>
  <c r="N107" i="37"/>
  <c r="K107" i="37"/>
  <c r="O107" i="37" s="1"/>
  <c r="N106" i="37"/>
  <c r="P182" i="37"/>
  <c r="T182" i="37" s="1"/>
  <c r="P180" i="37"/>
  <c r="T180" i="37" s="1"/>
  <c r="V317" i="30"/>
  <c r="W317" i="30" s="1"/>
  <c r="AL25" i="30"/>
  <c r="AG25" i="30"/>
  <c r="AB25" i="30"/>
  <c r="Z25" i="30"/>
  <c r="AL24" i="30"/>
  <c r="AG24" i="30"/>
  <c r="AB24" i="30"/>
  <c r="Z24" i="30"/>
  <c r="V88" i="30"/>
  <c r="W88" i="30" s="1"/>
  <c r="V313" i="30"/>
  <c r="V130" i="30"/>
  <c r="W130" i="30" s="1"/>
  <c r="V74" i="30"/>
  <c r="W74" i="30" s="1"/>
  <c r="V112" i="30"/>
  <c r="W112" i="30" s="1"/>
  <c r="V111" i="30"/>
  <c r="W111" i="30" s="1"/>
  <c r="AD111" i="30" s="1"/>
  <c r="V110" i="30"/>
  <c r="V109" i="30"/>
  <c r="W109" i="30" s="1"/>
  <c r="V108" i="30"/>
  <c r="W108" i="30" s="1"/>
  <c r="W326" i="30"/>
  <c r="AN326" i="30" s="1"/>
  <c r="W150" i="30"/>
  <c r="AN150" i="30" s="1"/>
  <c r="A82" i="32"/>
  <c r="B82" i="32"/>
  <c r="A83" i="32"/>
  <c r="B83" i="32"/>
  <c r="A84" i="32"/>
  <c r="B84" i="32"/>
  <c r="A85" i="32"/>
  <c r="B85" i="32"/>
  <c r="A86" i="32"/>
  <c r="B86" i="32"/>
  <c r="A87" i="32"/>
  <c r="B87" i="32"/>
  <c r="E50" i="8"/>
  <c r="E51" i="8"/>
  <c r="E52" i="8"/>
  <c r="E53" i="8"/>
  <c r="E54" i="8"/>
  <c r="E55" i="8"/>
  <c r="E56" i="8"/>
  <c r="E57" i="8"/>
  <c r="E6" i="33"/>
  <c r="K6" i="33"/>
  <c r="K7" i="33"/>
  <c r="E8" i="33"/>
  <c r="K8" i="33"/>
  <c r="K9" i="33"/>
  <c r="E10" i="33"/>
  <c r="I11" i="33" s="1"/>
  <c r="K10" i="33"/>
  <c r="K11" i="33"/>
  <c r="E12" i="33"/>
  <c r="I12" i="33" s="1"/>
  <c r="K12" i="33"/>
  <c r="I13" i="33"/>
  <c r="K13" i="33"/>
  <c r="E14" i="33"/>
  <c r="I14" i="33" s="1"/>
  <c r="K14" i="33"/>
  <c r="K15" i="33"/>
  <c r="E16" i="33"/>
  <c r="K16" i="33"/>
  <c r="K17" i="33"/>
  <c r="E18" i="33"/>
  <c r="I19" i="33" s="1"/>
  <c r="K18" i="33"/>
  <c r="K19" i="33"/>
  <c r="E20" i="33"/>
  <c r="I21" i="33" s="1"/>
  <c r="K20" i="33"/>
  <c r="K21" i="33"/>
  <c r="C45" i="33"/>
  <c r="C46" i="33"/>
  <c r="C47" i="33"/>
  <c r="C48" i="33"/>
  <c r="C49" i="33"/>
  <c r="C50" i="33"/>
  <c r="C51" i="33"/>
  <c r="C52" i="33"/>
  <c r="A53" i="33"/>
  <c r="E53" i="33"/>
  <c r="H53" i="33"/>
  <c r="K53" i="33"/>
  <c r="B54" i="33"/>
  <c r="F54" i="33"/>
  <c r="I54" i="33"/>
  <c r="L54" i="33"/>
  <c r="A55" i="33"/>
  <c r="E55" i="33"/>
  <c r="H55" i="33"/>
  <c r="K55" i="33"/>
  <c r="E86" i="32"/>
  <c r="F87" i="32"/>
  <c r="L11" i="26"/>
  <c r="P11" i="26"/>
  <c r="S11" i="26"/>
  <c r="U11" i="26" s="1"/>
  <c r="AA11" i="26"/>
  <c r="AC11" i="26"/>
  <c r="AE11" i="26"/>
  <c r="AJ11" i="26"/>
  <c r="AK11" i="26"/>
  <c r="AL11" i="26"/>
  <c r="AR11" i="26"/>
  <c r="H82" i="32" s="1"/>
  <c r="AE16" i="26"/>
  <c r="L16" i="26"/>
  <c r="N16" i="26"/>
  <c r="O16" i="26"/>
  <c r="P16" i="26"/>
  <c r="S16" i="26"/>
  <c r="AJ16" i="26"/>
  <c r="AK16" i="26"/>
  <c r="AL16" i="26"/>
  <c r="AR16" i="26"/>
  <c r="H83" i="32" s="1"/>
  <c r="L20" i="26"/>
  <c r="N20" i="26"/>
  <c r="AJ20" i="26" s="1"/>
  <c r="O20" i="26"/>
  <c r="P20" i="26"/>
  <c r="S20" i="26"/>
  <c r="Y20" i="26" s="1"/>
  <c r="AA20" i="26"/>
  <c r="AB20" i="26" s="1"/>
  <c r="AC20" i="26"/>
  <c r="AD20" i="26" s="1"/>
  <c r="AE20" i="26"/>
  <c r="AF20" i="26" s="1"/>
  <c r="AP20" i="26"/>
  <c r="AR20" i="26" s="1"/>
  <c r="L24" i="26"/>
  <c r="N24" i="26"/>
  <c r="O24" i="26"/>
  <c r="P24" i="26"/>
  <c r="S24" i="26"/>
  <c r="W24" i="26" s="1"/>
  <c r="AA24" i="26"/>
  <c r="AC24" i="26"/>
  <c r="AE24" i="26"/>
  <c r="AJ24" i="26"/>
  <c r="AK24" i="26"/>
  <c r="AL24" i="26"/>
  <c r="AR24" i="26"/>
  <c r="H85" i="32" s="1"/>
  <c r="R61" i="30"/>
  <c r="AB61" i="30"/>
  <c r="AG61" i="30"/>
  <c r="AL61" i="30"/>
  <c r="W62" i="30"/>
  <c r="X62" i="30" s="1"/>
  <c r="M62" i="30"/>
  <c r="Z62" i="30"/>
  <c r="AB62" i="30"/>
  <c r="AG62" i="30"/>
  <c r="AL62" i="30"/>
  <c r="Z63" i="30"/>
  <c r="AB63" i="30"/>
  <c r="AG63" i="30"/>
  <c r="AL63" i="30"/>
  <c r="Z64" i="30"/>
  <c r="AB64" i="30"/>
  <c r="AG64" i="30"/>
  <c r="AL64" i="30"/>
  <c r="Z65" i="30"/>
  <c r="AB65" i="30"/>
  <c r="AG65" i="30"/>
  <c r="AL65" i="30"/>
  <c r="W66" i="30"/>
  <c r="AD66" i="30" s="1"/>
  <c r="Z66" i="30"/>
  <c r="AB66" i="30"/>
  <c r="AG66" i="30"/>
  <c r="AL66" i="30"/>
  <c r="R330" i="30"/>
  <c r="W330" i="30"/>
  <c r="X330" i="30" s="1"/>
  <c r="Y330" i="30" s="1"/>
  <c r="Z330" i="30"/>
  <c r="AB330" i="30"/>
  <c r="AG330" i="30"/>
  <c r="AL330" i="30"/>
  <c r="W96" i="30"/>
  <c r="AN96" i="30" s="1"/>
  <c r="Z96" i="30"/>
  <c r="AB96" i="30"/>
  <c r="AG96" i="30"/>
  <c r="AL96" i="30"/>
  <c r="W97" i="30"/>
  <c r="AI97" i="30" s="1"/>
  <c r="Z97" i="30"/>
  <c r="AB97" i="30"/>
  <c r="AG97" i="30"/>
  <c r="AL97" i="30"/>
  <c r="W98" i="30"/>
  <c r="AN98" i="30" s="1"/>
  <c r="Z98" i="30"/>
  <c r="AB98" i="30"/>
  <c r="AG98" i="30"/>
  <c r="AL98" i="30"/>
  <c r="Z266" i="30"/>
  <c r="AB266" i="30"/>
  <c r="AG266" i="30"/>
  <c r="AL266" i="30"/>
  <c r="R267" i="30"/>
  <c r="Z267" i="30"/>
  <c r="AB267" i="30"/>
  <c r="AG267" i="30"/>
  <c r="AL267" i="30"/>
  <c r="Z268" i="30"/>
  <c r="AB268" i="30"/>
  <c r="AG268" i="30"/>
  <c r="AL268" i="30"/>
  <c r="W269" i="30"/>
  <c r="AI269" i="30" s="1"/>
  <c r="Z269" i="30"/>
  <c r="AB269" i="30"/>
  <c r="AG269" i="30"/>
  <c r="AL269" i="30"/>
  <c r="W270" i="30"/>
  <c r="Z270" i="30"/>
  <c r="AB270" i="30"/>
  <c r="AG270" i="30"/>
  <c r="AL270" i="30"/>
  <c r="W271" i="30"/>
  <c r="AN271" i="30" s="1"/>
  <c r="Z271" i="30"/>
  <c r="AB271" i="30"/>
  <c r="AG271" i="30"/>
  <c r="AL271" i="30"/>
  <c r="R272" i="30"/>
  <c r="W272" i="30"/>
  <c r="Z272" i="30"/>
  <c r="AB272" i="30"/>
  <c r="AG272" i="30"/>
  <c r="AL272" i="30"/>
  <c r="M273" i="30"/>
  <c r="Q273" i="30" s="1"/>
  <c r="Z273" i="30"/>
  <c r="AB273" i="30"/>
  <c r="AG273" i="30"/>
  <c r="AL273" i="30"/>
  <c r="W254" i="30"/>
  <c r="X254" i="30" s="1"/>
  <c r="Y254" i="30" s="1"/>
  <c r="Z254" i="30"/>
  <c r="AB254" i="30"/>
  <c r="AG254" i="30"/>
  <c r="AL254" i="30"/>
  <c r="W255" i="30"/>
  <c r="Z255" i="30"/>
  <c r="AB255" i="30"/>
  <c r="AG255" i="30"/>
  <c r="AL255" i="30"/>
  <c r="R256" i="30"/>
  <c r="W256" i="30"/>
  <c r="AN256" i="30" s="1"/>
  <c r="Z256" i="30"/>
  <c r="AB256" i="30"/>
  <c r="AG256" i="30"/>
  <c r="AL256" i="30"/>
  <c r="R154" i="30"/>
  <c r="Z154" i="30"/>
  <c r="AB154" i="30"/>
  <c r="AG154" i="30"/>
  <c r="AL154" i="30"/>
  <c r="W155" i="30"/>
  <c r="Z155" i="30"/>
  <c r="AB155" i="30"/>
  <c r="AG155" i="30"/>
  <c r="AL155" i="30"/>
  <c r="W156" i="30"/>
  <c r="AN156" i="30" s="1"/>
  <c r="Z156" i="30"/>
  <c r="AB156" i="30"/>
  <c r="AG156" i="30"/>
  <c r="AL156" i="30"/>
  <c r="W157" i="30"/>
  <c r="AD157" i="30" s="1"/>
  <c r="Z157" i="30"/>
  <c r="AB157" i="30"/>
  <c r="AG157" i="30"/>
  <c r="AL157" i="30"/>
  <c r="R260" i="30"/>
  <c r="Z260" i="30"/>
  <c r="AB260" i="30"/>
  <c r="AG260" i="30"/>
  <c r="AL260" i="30"/>
  <c r="Z261" i="30"/>
  <c r="AB261" i="30"/>
  <c r="AG261" i="30"/>
  <c r="AL261" i="30"/>
  <c r="W262" i="30"/>
  <c r="X262" i="30" s="1"/>
  <c r="R262" i="30"/>
  <c r="Z262" i="30"/>
  <c r="AB262" i="30"/>
  <c r="AG262" i="30"/>
  <c r="AL262" i="30"/>
  <c r="W184" i="30"/>
  <c r="AN184" i="30" s="1"/>
  <c r="M184" i="30"/>
  <c r="Q184" i="30" s="1"/>
  <c r="Z184" i="30"/>
  <c r="AB184" i="30"/>
  <c r="AG184" i="30"/>
  <c r="AL184" i="30"/>
  <c r="AB185" i="30"/>
  <c r="AG185" i="30"/>
  <c r="AL185" i="30"/>
  <c r="AB186" i="30"/>
  <c r="AG186" i="30"/>
  <c r="AL186" i="30"/>
  <c r="W187" i="30"/>
  <c r="AI187" i="30" s="1"/>
  <c r="M187" i="30"/>
  <c r="Q187" i="30" s="1"/>
  <c r="AB187" i="30"/>
  <c r="AG187" i="30"/>
  <c r="AL187" i="30"/>
  <c r="V188" i="30"/>
  <c r="W188" i="30" s="1"/>
  <c r="AN188" i="30" s="1"/>
  <c r="AB188" i="30"/>
  <c r="AG188" i="30"/>
  <c r="AL188" i="30"/>
  <c r="W189" i="30"/>
  <c r="AI189" i="30" s="1"/>
  <c r="Z189" i="30"/>
  <c r="AB189" i="30"/>
  <c r="AG189" i="30"/>
  <c r="AL189" i="30"/>
  <c r="W249" i="30"/>
  <c r="Z249" i="30"/>
  <c r="AB249" i="30"/>
  <c r="AG249" i="30"/>
  <c r="AL249" i="30"/>
  <c r="W250" i="30"/>
  <c r="AD250" i="30" s="1"/>
  <c r="Z250" i="30"/>
  <c r="AB250" i="30"/>
  <c r="AG250" i="30"/>
  <c r="AL250" i="30"/>
  <c r="W134" i="30"/>
  <c r="X134" i="30" s="1"/>
  <c r="Y134" i="30" s="1"/>
  <c r="Z134" i="30"/>
  <c r="AB134" i="30"/>
  <c r="AG134" i="30"/>
  <c r="AL134" i="30"/>
  <c r="M29" i="30"/>
  <c r="S29" i="30" s="1"/>
  <c r="Z29" i="30"/>
  <c r="AB29" i="30"/>
  <c r="AG29" i="30"/>
  <c r="AL29" i="30"/>
  <c r="Z30" i="30"/>
  <c r="AB30" i="30"/>
  <c r="AG30" i="30"/>
  <c r="AL30" i="30"/>
  <c r="Z31" i="30"/>
  <c r="AB31" i="30"/>
  <c r="AG31" i="30"/>
  <c r="AL31" i="30"/>
  <c r="Z281" i="30"/>
  <c r="AB281" i="30"/>
  <c r="AG281" i="30"/>
  <c r="AL281" i="30"/>
  <c r="Z282" i="30"/>
  <c r="AB282" i="30"/>
  <c r="AG282" i="30"/>
  <c r="AL282" i="30"/>
  <c r="M56" i="30"/>
  <c r="Z56" i="30"/>
  <c r="AB56" i="30"/>
  <c r="AG56" i="30"/>
  <c r="AL56" i="30"/>
  <c r="Z57" i="30"/>
  <c r="AB57" i="30"/>
  <c r="AG57" i="30"/>
  <c r="AL57" i="30"/>
  <c r="R16" i="30"/>
  <c r="Z16" i="30"/>
  <c r="AB16" i="30"/>
  <c r="AG16" i="30"/>
  <c r="AL16" i="30"/>
  <c r="Z17" i="30"/>
  <c r="AB17" i="30"/>
  <c r="AG17" i="30"/>
  <c r="AL17" i="30"/>
  <c r="W18" i="30"/>
  <c r="X18" i="30" s="1"/>
  <c r="Y18" i="30" s="1"/>
  <c r="Z18" i="30"/>
  <c r="AB18" i="30"/>
  <c r="AG18" i="30"/>
  <c r="AL18" i="30"/>
  <c r="W321" i="30"/>
  <c r="X321" i="30" s="1"/>
  <c r="Y321" i="30" s="1"/>
  <c r="Z321" i="30"/>
  <c r="AB321" i="30"/>
  <c r="AG321" i="30"/>
  <c r="AL321" i="30"/>
  <c r="W322" i="30"/>
  <c r="AN322" i="30" s="1"/>
  <c r="Z322" i="30"/>
  <c r="AB322" i="30"/>
  <c r="AG322" i="30"/>
  <c r="AL322" i="30"/>
  <c r="R236" i="30"/>
  <c r="W236" i="30"/>
  <c r="AI236" i="30" s="1"/>
  <c r="Z236" i="30"/>
  <c r="AB236" i="30"/>
  <c r="AG236" i="30"/>
  <c r="AL236" i="30"/>
  <c r="W237" i="30"/>
  <c r="AI237" i="30" s="1"/>
  <c r="M237" i="30"/>
  <c r="Q237" i="30" s="1"/>
  <c r="Z237" i="30"/>
  <c r="AB237" i="30"/>
  <c r="AG237" i="30"/>
  <c r="AL237" i="30"/>
  <c r="W334" i="30"/>
  <c r="X334" i="30" s="1"/>
  <c r="R334" i="30"/>
  <c r="Z334" i="30"/>
  <c r="AB334" i="30"/>
  <c r="AG334" i="30"/>
  <c r="AL334" i="30"/>
  <c r="Z52" i="30"/>
  <c r="AB52" i="30"/>
  <c r="AG52" i="30"/>
  <c r="AL52" i="30"/>
  <c r="V44" i="30"/>
  <c r="W44" i="30" s="1"/>
  <c r="AD44" i="30" s="1"/>
  <c r="AE44" i="30" s="1"/>
  <c r="Z44" i="30"/>
  <c r="AB44" i="30"/>
  <c r="AG44" i="30"/>
  <c r="AL44" i="30"/>
  <c r="M228" i="30"/>
  <c r="S228" i="30" s="1"/>
  <c r="W228" i="30"/>
  <c r="AI228" i="30" s="1"/>
  <c r="Z228" i="30"/>
  <c r="AB228" i="30"/>
  <c r="AG228" i="30"/>
  <c r="AL228" i="30"/>
  <c r="M22" i="30"/>
  <c r="Z22" i="30"/>
  <c r="AB22" i="30"/>
  <c r="AG22" i="30"/>
  <c r="AL22" i="30"/>
  <c r="R23" i="30"/>
  <c r="Z23" i="30"/>
  <c r="AB23" i="30"/>
  <c r="AG23" i="30"/>
  <c r="AL23" i="30"/>
  <c r="M24" i="30"/>
  <c r="M25" i="30"/>
  <c r="M179" i="30"/>
  <c r="W179" i="30"/>
  <c r="Z179" i="30"/>
  <c r="AB179" i="30"/>
  <c r="AC179" i="30" s="1"/>
  <c r="AG179" i="30"/>
  <c r="AL179" i="30"/>
  <c r="W180" i="30"/>
  <c r="M180" i="30"/>
  <c r="T180" i="30" s="1"/>
  <c r="Z180" i="30"/>
  <c r="AB180" i="30"/>
  <c r="AG180" i="30"/>
  <c r="AL180" i="30"/>
  <c r="W48" i="30"/>
  <c r="AD48" i="30" s="1"/>
  <c r="R48" i="30"/>
  <c r="Z48" i="30"/>
  <c r="AB48" i="30"/>
  <c r="AG48" i="30"/>
  <c r="AL48" i="30"/>
  <c r="W165" i="30"/>
  <c r="X165" i="30" s="1"/>
  <c r="Y165" i="30" s="1"/>
  <c r="Z165" i="30"/>
  <c r="AB165" i="30"/>
  <c r="AG165" i="30"/>
  <c r="AL165" i="30"/>
  <c r="Z161" i="30"/>
  <c r="AB161" i="30"/>
  <c r="AG161" i="30"/>
  <c r="AL161" i="30"/>
  <c r="M142" i="30"/>
  <c r="Q142" i="30" s="1"/>
  <c r="W142" i="30"/>
  <c r="AI142" i="30" s="1"/>
  <c r="Z142" i="30"/>
  <c r="AB142" i="30"/>
  <c r="AG142" i="30"/>
  <c r="AL142" i="30"/>
  <c r="Z241" i="30"/>
  <c r="AB241" i="30"/>
  <c r="AG241" i="30"/>
  <c r="AL241" i="30"/>
  <c r="W116" i="30"/>
  <c r="AD116" i="30" s="1"/>
  <c r="Z116" i="30"/>
  <c r="AB116" i="30"/>
  <c r="AG116" i="30"/>
  <c r="AL116" i="30"/>
  <c r="Z117" i="30"/>
  <c r="AB117" i="30"/>
  <c r="AG117" i="30"/>
  <c r="AL117" i="30"/>
  <c r="R118" i="30"/>
  <c r="Z118" i="30"/>
  <c r="AB118" i="30"/>
  <c r="AG118" i="30"/>
  <c r="AL118" i="30"/>
  <c r="Z119" i="30"/>
  <c r="AB119" i="30"/>
  <c r="AG119" i="30"/>
  <c r="AL119" i="30"/>
  <c r="Z120" i="30"/>
  <c r="AB120" i="30"/>
  <c r="AG120" i="30"/>
  <c r="AL120" i="30"/>
  <c r="R121" i="30"/>
  <c r="AC121" i="30" s="1"/>
  <c r="W121" i="30"/>
  <c r="AD121" i="30" s="1"/>
  <c r="Z121" i="30"/>
  <c r="AB121" i="30"/>
  <c r="AG121" i="30"/>
  <c r="AL121" i="30"/>
  <c r="W122" i="30"/>
  <c r="AD122" i="30" s="1"/>
  <c r="R122" i="30"/>
  <c r="Z122" i="30"/>
  <c r="AB122" i="30"/>
  <c r="AG122" i="30"/>
  <c r="AL122" i="30"/>
  <c r="W123" i="30"/>
  <c r="AN123" i="30" s="1"/>
  <c r="Z123" i="30"/>
  <c r="AB123" i="30"/>
  <c r="AG123" i="30"/>
  <c r="AL123" i="30"/>
  <c r="R124" i="30"/>
  <c r="W124" i="30"/>
  <c r="X124" i="30" s="1"/>
  <c r="Y124" i="30" s="1"/>
  <c r="Z124" i="30"/>
  <c r="AB124" i="30"/>
  <c r="AG124" i="30"/>
  <c r="AL124" i="30"/>
  <c r="W125" i="30"/>
  <c r="Z125" i="30"/>
  <c r="AB125" i="30"/>
  <c r="AG125" i="30"/>
  <c r="AL125" i="30"/>
  <c r="V203" i="30"/>
  <c r="W203" i="30" s="1"/>
  <c r="AD203" i="30" s="1"/>
  <c r="Z203" i="30"/>
  <c r="AB203" i="30"/>
  <c r="AG203" i="30"/>
  <c r="AL203" i="30"/>
  <c r="V286" i="30"/>
  <c r="W286" i="30" s="1"/>
  <c r="AN286" i="30" s="1"/>
  <c r="Z286" i="30"/>
  <c r="AB286" i="30"/>
  <c r="AG286" i="30"/>
  <c r="AL286" i="30"/>
  <c r="W193" i="30"/>
  <c r="AB193" i="30"/>
  <c r="AG193" i="30"/>
  <c r="AL193" i="30"/>
  <c r="AB194" i="30"/>
  <c r="AG194" i="30"/>
  <c r="AL194" i="30"/>
  <c r="AB195" i="30"/>
  <c r="AG195" i="30"/>
  <c r="AL195" i="30"/>
  <c r="AB138" i="30"/>
  <c r="AG138" i="30"/>
  <c r="AL138" i="30"/>
  <c r="W303" i="30"/>
  <c r="M303" i="30"/>
  <c r="Q303" i="30" s="1"/>
  <c r="Z303" i="30"/>
  <c r="AB303" i="30"/>
  <c r="AG303" i="30"/>
  <c r="AL303" i="30"/>
  <c r="W102" i="30"/>
  <c r="AN102" i="30" s="1"/>
  <c r="Z102" i="30"/>
  <c r="AB102" i="30"/>
  <c r="AG102" i="30"/>
  <c r="AL102" i="30"/>
  <c r="Z103" i="30"/>
  <c r="AB103" i="30"/>
  <c r="AG103" i="30"/>
  <c r="AL103" i="30"/>
  <c r="Z104" i="30"/>
  <c r="AB104" i="30"/>
  <c r="AG104" i="30"/>
  <c r="AL104" i="30"/>
  <c r="W207" i="30"/>
  <c r="AI207" i="30" s="1"/>
  <c r="M207" i="30"/>
  <c r="S207" i="30" s="1"/>
  <c r="AB207" i="30"/>
  <c r="AG207" i="30"/>
  <c r="AL207" i="30"/>
  <c r="M208" i="30"/>
  <c r="Q208" i="30" s="1"/>
  <c r="AB208" i="30"/>
  <c r="AG208" i="30"/>
  <c r="AL208" i="30"/>
  <c r="W210" i="30"/>
  <c r="M210" i="30"/>
  <c r="Q210" i="30" s="1"/>
  <c r="AB210" i="30"/>
  <c r="AG210" i="30"/>
  <c r="AL210" i="30"/>
  <c r="R212" i="30"/>
  <c r="V212" i="30"/>
  <c r="AB212" i="30"/>
  <c r="AG212" i="30"/>
  <c r="AL212" i="30"/>
  <c r="W213" i="30"/>
  <c r="R213" i="30"/>
  <c r="AB213" i="30"/>
  <c r="AG213" i="30"/>
  <c r="AL213" i="30"/>
  <c r="M214" i="30"/>
  <c r="S214" i="30" s="1"/>
  <c r="AB214" i="30"/>
  <c r="AG214" i="30"/>
  <c r="AL214" i="30"/>
  <c r="M215" i="30"/>
  <c r="T215" i="30" s="1"/>
  <c r="W215" i="30"/>
  <c r="AI215" i="30" s="1"/>
  <c r="W216" i="30"/>
  <c r="AN216" i="30" s="1"/>
  <c r="AB216" i="30"/>
  <c r="AG216" i="30"/>
  <c r="AL216" i="30"/>
  <c r="R218" i="30"/>
  <c r="AB218" i="30"/>
  <c r="AG218" i="30"/>
  <c r="AL218" i="30"/>
  <c r="M219" i="30"/>
  <c r="T219" i="30" s="1"/>
  <c r="AB219" i="30"/>
  <c r="AG219" i="30"/>
  <c r="AL219" i="30"/>
  <c r="M294" i="30"/>
  <c r="S294" i="30" s="1"/>
  <c r="Z294" i="30"/>
  <c r="AB294" i="30"/>
  <c r="AG294" i="30"/>
  <c r="AL294" i="30"/>
  <c r="Z295" i="30"/>
  <c r="AB295" i="30"/>
  <c r="AG295" i="30"/>
  <c r="AL295" i="30"/>
  <c r="W296" i="30"/>
  <c r="M296" i="30"/>
  <c r="Q296" i="30" s="1"/>
  <c r="Z296" i="30"/>
  <c r="AB296" i="30"/>
  <c r="AG296" i="30"/>
  <c r="AL296" i="30"/>
  <c r="W297" i="30"/>
  <c r="Z297" i="30"/>
  <c r="AB297" i="30"/>
  <c r="AG297" i="30"/>
  <c r="AL297" i="30"/>
  <c r="W298" i="30"/>
  <c r="Z298" i="30"/>
  <c r="AB298" i="30"/>
  <c r="AG298" i="30"/>
  <c r="AL298" i="30"/>
  <c r="Z78" i="30"/>
  <c r="AB78" i="30"/>
  <c r="AG78" i="30"/>
  <c r="AL78" i="30"/>
  <c r="W79" i="30"/>
  <c r="AI79" i="30" s="1"/>
  <c r="Z79" i="30"/>
  <c r="AB79" i="30"/>
  <c r="AG79" i="30"/>
  <c r="AL79" i="30"/>
  <c r="Z317" i="30"/>
  <c r="AB317" i="30"/>
  <c r="AG317" i="30"/>
  <c r="AL317" i="30"/>
  <c r="M170" i="30"/>
  <c r="T170" i="30" s="1"/>
  <c r="W170" i="30"/>
  <c r="AD170" i="30" s="1"/>
  <c r="M171" i="30"/>
  <c r="T171" i="30" s="1"/>
  <c r="W171" i="30"/>
  <c r="X171" i="30" s="1"/>
  <c r="Y171" i="30" s="1"/>
  <c r="W146" i="30"/>
  <c r="AN146" i="30" s="1"/>
  <c r="M277" i="30"/>
  <c r="S277" i="30" s="1"/>
  <c r="W277" i="30"/>
  <c r="AD277" i="30" s="1"/>
  <c r="W223" i="30"/>
  <c r="M224" i="30"/>
  <c r="S224" i="30" s="1"/>
  <c r="W224" i="30"/>
  <c r="AD224" i="30" s="1"/>
  <c r="W232" i="30"/>
  <c r="AD232" i="30" s="1"/>
  <c r="M39" i="30"/>
  <c r="S39" i="30" s="1"/>
  <c r="W39" i="30"/>
  <c r="W40" i="30"/>
  <c r="AN40" i="30" s="1"/>
  <c r="R307" i="30"/>
  <c r="AC307" i="30" s="1"/>
  <c r="W307" i="30"/>
  <c r="W308" i="30"/>
  <c r="AN308" i="30" s="1"/>
  <c r="R309" i="30"/>
  <c r="W309" i="30"/>
  <c r="X309" i="30" s="1"/>
  <c r="Y309" i="30" s="1"/>
  <c r="R310" i="30"/>
  <c r="W310" i="30"/>
  <c r="W311" i="30"/>
  <c r="M312" i="30"/>
  <c r="T312" i="30" s="1"/>
  <c r="W312" i="30"/>
  <c r="W35" i="30"/>
  <c r="AD35" i="30" s="1"/>
  <c r="R129" i="30"/>
  <c r="W129" i="30"/>
  <c r="AI129" i="30" s="1"/>
  <c r="W290" i="30"/>
  <c r="R89" i="30"/>
  <c r="W89" i="30"/>
  <c r="X89" i="30" s="1"/>
  <c r="Y89" i="30" s="1"/>
  <c r="W90" i="30"/>
  <c r="X90" i="30" s="1"/>
  <c r="Y90" i="30" s="1"/>
  <c r="W175" i="30"/>
  <c r="M175" i="30"/>
  <c r="S175" i="30" s="1"/>
  <c r="AH175" i="30" s="1"/>
  <c r="O15" i="37"/>
  <c r="R15" i="37" s="1"/>
  <c r="P15" i="37"/>
  <c r="T15" i="37" s="1"/>
  <c r="Q15" i="37"/>
  <c r="S15" i="37" s="1"/>
  <c r="O16" i="37"/>
  <c r="P16" i="37"/>
  <c r="T16" i="37" s="1"/>
  <c r="AA16" i="37"/>
  <c r="AX16" i="37" s="1"/>
  <c r="AE16" i="37"/>
  <c r="AG16" i="37"/>
  <c r="AO16" i="37"/>
  <c r="AV16" i="37"/>
  <c r="N17" i="37"/>
  <c r="P17" i="37" s="1"/>
  <c r="T17" i="37" s="1"/>
  <c r="O17" i="37"/>
  <c r="AA17" i="37"/>
  <c r="AX17" i="37" s="1"/>
  <c r="AE17" i="37"/>
  <c r="AG17" i="37"/>
  <c r="AO17" i="37"/>
  <c r="AV17" i="37"/>
  <c r="O18" i="37"/>
  <c r="P18" i="37"/>
  <c r="T18" i="37" s="1"/>
  <c r="AA18" i="37"/>
  <c r="AI18" i="37" s="1"/>
  <c r="AE18" i="37"/>
  <c r="AG18" i="37"/>
  <c r="AO18" i="37"/>
  <c r="AV18" i="37"/>
  <c r="O19" i="37"/>
  <c r="P19" i="37"/>
  <c r="AA19" i="37"/>
  <c r="AQ19" i="37" s="1"/>
  <c r="AE19" i="37"/>
  <c r="AG19" i="37"/>
  <c r="AO19" i="37"/>
  <c r="AV19" i="37"/>
  <c r="O21" i="37"/>
  <c r="R21" i="37" s="1"/>
  <c r="P21" i="37"/>
  <c r="T21" i="37" s="1"/>
  <c r="Q21" i="37"/>
  <c r="S21" i="37" s="1"/>
  <c r="O22" i="37"/>
  <c r="P22" i="37"/>
  <c r="T22" i="37" s="1"/>
  <c r="AA22" i="37"/>
  <c r="AX22" i="37" s="1"/>
  <c r="AE22" i="37"/>
  <c r="AG22" i="37"/>
  <c r="AO22" i="37"/>
  <c r="AV22" i="37"/>
  <c r="M24" i="37"/>
  <c r="O24" i="37" s="1"/>
  <c r="R24" i="37" s="1"/>
  <c r="N24" i="37"/>
  <c r="P24" i="37" s="1"/>
  <c r="T24" i="37" s="1"/>
  <c r="Q24" i="37"/>
  <c r="S24" i="37" s="1"/>
  <c r="O25" i="37"/>
  <c r="P25" i="37"/>
  <c r="T25" i="37" s="1"/>
  <c r="AA25" i="37"/>
  <c r="AX25" i="37" s="1"/>
  <c r="AE25" i="37"/>
  <c r="AG25" i="37"/>
  <c r="AO25" i="37"/>
  <c r="AV25" i="37"/>
  <c r="O27" i="37"/>
  <c r="R27" i="37" s="1"/>
  <c r="P27" i="37"/>
  <c r="T27" i="37" s="1"/>
  <c r="Q27" i="37"/>
  <c r="S27" i="37" s="1"/>
  <c r="O28" i="37"/>
  <c r="P28" i="37"/>
  <c r="T28" i="37" s="1"/>
  <c r="AA28" i="37"/>
  <c r="AQ28" i="37" s="1"/>
  <c r="AE28" i="37"/>
  <c r="AG28" i="37"/>
  <c r="AO28" i="37"/>
  <c r="AV28" i="37"/>
  <c r="O30" i="37"/>
  <c r="R30" i="37" s="1"/>
  <c r="P30" i="37"/>
  <c r="T30" i="37" s="1"/>
  <c r="V30" i="37" s="1"/>
  <c r="Q30" i="37"/>
  <c r="S30" i="37" s="1"/>
  <c r="O31" i="37"/>
  <c r="P31" i="37"/>
  <c r="T31" i="37" s="1"/>
  <c r="AA31" i="37"/>
  <c r="AX31" i="37" s="1"/>
  <c r="AE31" i="37"/>
  <c r="AG31" i="37"/>
  <c r="AO31" i="37"/>
  <c r="AV31" i="37"/>
  <c r="O32" i="37"/>
  <c r="P32" i="37"/>
  <c r="T32" i="37" s="1"/>
  <c r="AA32" i="37"/>
  <c r="AQ32" i="37" s="1"/>
  <c r="AE32" i="37"/>
  <c r="AG32" i="37"/>
  <c r="AO32" i="37"/>
  <c r="AV32" i="37"/>
  <c r="O33" i="37"/>
  <c r="P33" i="37"/>
  <c r="T33" i="37" s="1"/>
  <c r="AA33" i="37"/>
  <c r="AQ33" i="37" s="1"/>
  <c r="AE33" i="37"/>
  <c r="AG33" i="37"/>
  <c r="AO33" i="37"/>
  <c r="AV33" i="37"/>
  <c r="O35" i="37"/>
  <c r="R35" i="37" s="1"/>
  <c r="P35" i="37"/>
  <c r="T35" i="37" s="1"/>
  <c r="Q35" i="37"/>
  <c r="S35" i="37" s="1"/>
  <c r="O36" i="37"/>
  <c r="P36" i="37"/>
  <c r="T36" i="37" s="1"/>
  <c r="AA36" i="37"/>
  <c r="AX36" i="37" s="1"/>
  <c r="AE36" i="37"/>
  <c r="AG36" i="37"/>
  <c r="AO36" i="37"/>
  <c r="AV36" i="37"/>
  <c r="O38" i="37"/>
  <c r="R38" i="37" s="1"/>
  <c r="P38" i="37"/>
  <c r="T38" i="37" s="1"/>
  <c r="Q38" i="37"/>
  <c r="S38" i="37" s="1"/>
  <c r="O39" i="37"/>
  <c r="P39" i="37"/>
  <c r="T39" i="37" s="1"/>
  <c r="AA39" i="37"/>
  <c r="AI39" i="37" s="1"/>
  <c r="AE39" i="37"/>
  <c r="AG39" i="37"/>
  <c r="AO39" i="37"/>
  <c r="AV39" i="37"/>
  <c r="O41" i="37"/>
  <c r="R41" i="37" s="1"/>
  <c r="P41" i="37"/>
  <c r="Q41" i="37"/>
  <c r="S41" i="37" s="1"/>
  <c r="O42" i="37"/>
  <c r="P42" i="37"/>
  <c r="T42" i="37" s="1"/>
  <c r="AA42" i="37"/>
  <c r="AX42" i="37" s="1"/>
  <c r="AE42" i="37"/>
  <c r="AG42" i="37"/>
  <c r="AO42" i="37"/>
  <c r="AV42" i="37"/>
  <c r="O43" i="37"/>
  <c r="P43" i="37"/>
  <c r="T43" i="37" s="1"/>
  <c r="U43" i="37" s="1"/>
  <c r="AA43" i="37"/>
  <c r="AI43" i="37" s="1"/>
  <c r="AE43" i="37"/>
  <c r="AG43" i="37"/>
  <c r="AO43" i="37"/>
  <c r="AV43" i="37"/>
  <c r="O44" i="37"/>
  <c r="P44" i="37"/>
  <c r="T44" i="37" s="1"/>
  <c r="AA44" i="37"/>
  <c r="AQ44" i="37" s="1"/>
  <c r="AE44" i="37"/>
  <c r="AG44" i="37"/>
  <c r="AO44" i="37"/>
  <c r="AV44" i="37"/>
  <c r="O46" i="37"/>
  <c r="R46" i="37" s="1"/>
  <c r="P46" i="37"/>
  <c r="T46" i="37" s="1"/>
  <c r="Q46" i="37"/>
  <c r="S46" i="37" s="1"/>
  <c r="O47" i="37"/>
  <c r="P47" i="37"/>
  <c r="T47" i="37" s="1"/>
  <c r="AA47" i="37"/>
  <c r="AX47" i="37" s="1"/>
  <c r="AE47" i="37"/>
  <c r="AG47" i="37"/>
  <c r="AO47" i="37"/>
  <c r="AV47" i="37"/>
  <c r="O48" i="37"/>
  <c r="P48" i="37"/>
  <c r="T48" i="37" s="1"/>
  <c r="AA48" i="37"/>
  <c r="AE48" i="37"/>
  <c r="AG48" i="37"/>
  <c r="AO48" i="37"/>
  <c r="AV48" i="37"/>
  <c r="O49" i="37"/>
  <c r="P49" i="37"/>
  <c r="T49" i="37" s="1"/>
  <c r="AA49" i="37"/>
  <c r="AQ49" i="37" s="1"/>
  <c r="AE49" i="37"/>
  <c r="AG49" i="37"/>
  <c r="AO49" i="37"/>
  <c r="AV49" i="37"/>
  <c r="O50" i="37"/>
  <c r="P50" i="37"/>
  <c r="T50" i="37" s="1"/>
  <c r="AA50" i="37"/>
  <c r="AX50" i="37" s="1"/>
  <c r="AE50" i="37"/>
  <c r="AG50" i="37"/>
  <c r="AO50" i="37"/>
  <c r="AV50" i="37"/>
  <c r="O52" i="37"/>
  <c r="R52" i="37" s="1"/>
  <c r="P52" i="37"/>
  <c r="T52" i="37" s="1"/>
  <c r="U52" i="37" s="1"/>
  <c r="Q52" i="37"/>
  <c r="S52" i="37" s="1"/>
  <c r="O53" i="37"/>
  <c r="P53" i="37"/>
  <c r="T53" i="37" s="1"/>
  <c r="AA53" i="37"/>
  <c r="AI53" i="37" s="1"/>
  <c r="AE53" i="37"/>
  <c r="AG53" i="37"/>
  <c r="AO53" i="37"/>
  <c r="AV53" i="37"/>
  <c r="O55" i="37"/>
  <c r="R55" i="37" s="1"/>
  <c r="P55" i="37"/>
  <c r="T55" i="37" s="1"/>
  <c r="Q55" i="37"/>
  <c r="S55" i="37" s="1"/>
  <c r="O56" i="37"/>
  <c r="P56" i="37"/>
  <c r="T56" i="37" s="1"/>
  <c r="AA56" i="37"/>
  <c r="AX56" i="37" s="1"/>
  <c r="AE56" i="37"/>
  <c r="AG56" i="37"/>
  <c r="AO56" i="37"/>
  <c r="AV56" i="37"/>
  <c r="O57" i="37"/>
  <c r="P57" i="37"/>
  <c r="T57" i="37" s="1"/>
  <c r="AA57" i="37"/>
  <c r="AQ57" i="37" s="1"/>
  <c r="AE57" i="37"/>
  <c r="AG57" i="37"/>
  <c r="AO57" i="37"/>
  <c r="AV57" i="37"/>
  <c r="O58" i="37"/>
  <c r="P58" i="37"/>
  <c r="T58" i="37" s="1"/>
  <c r="V58" i="37" s="1"/>
  <c r="AA58" i="37"/>
  <c r="AX58" i="37" s="1"/>
  <c r="AE58" i="37"/>
  <c r="AG58" i="37"/>
  <c r="AO58" i="37"/>
  <c r="AV58" i="37"/>
  <c r="O60" i="37"/>
  <c r="R60" i="37" s="1"/>
  <c r="P60" i="37"/>
  <c r="T60" i="37" s="1"/>
  <c r="V60" i="37" s="1"/>
  <c r="Q60" i="37"/>
  <c r="S60" i="37" s="1"/>
  <c r="O61" i="37"/>
  <c r="P61" i="37"/>
  <c r="T61" i="37" s="1"/>
  <c r="V61" i="37" s="1"/>
  <c r="AA61" i="37"/>
  <c r="AE61" i="37"/>
  <c r="AG61" i="37"/>
  <c r="AO61" i="37"/>
  <c r="AV61" i="37"/>
  <c r="O73" i="37"/>
  <c r="R73" i="37" s="1"/>
  <c r="P73" i="37"/>
  <c r="T73" i="37" s="1"/>
  <c r="U73" i="37" s="1"/>
  <c r="Q73" i="37"/>
  <c r="S73" i="37" s="1"/>
  <c r="O74" i="37"/>
  <c r="P74" i="37"/>
  <c r="T74" i="37" s="1"/>
  <c r="U74" i="37" s="1"/>
  <c r="AA74" i="37"/>
  <c r="AX74" i="37" s="1"/>
  <c r="AE74" i="37"/>
  <c r="AG74" i="37"/>
  <c r="AO74" i="37"/>
  <c r="AV74" i="37"/>
  <c r="O76" i="37"/>
  <c r="R76" i="37" s="1"/>
  <c r="P76" i="37"/>
  <c r="Q76" i="37"/>
  <c r="S76" i="37" s="1"/>
  <c r="O77" i="37"/>
  <c r="P77" i="37"/>
  <c r="T77" i="37" s="1"/>
  <c r="U77" i="37" s="1"/>
  <c r="AA77" i="37"/>
  <c r="AI77" i="37" s="1"/>
  <c r="AE77" i="37"/>
  <c r="AG77" i="37"/>
  <c r="AO77" i="37"/>
  <c r="AV77" i="37"/>
  <c r="O79" i="37"/>
  <c r="R79" i="37" s="1"/>
  <c r="P79" i="37"/>
  <c r="T79" i="37" s="1"/>
  <c r="Q79" i="37"/>
  <c r="S79" i="37" s="1"/>
  <c r="O80" i="37"/>
  <c r="P80" i="37"/>
  <c r="T80" i="37" s="1"/>
  <c r="U80" i="37" s="1"/>
  <c r="AA80" i="37"/>
  <c r="AX80" i="37" s="1"/>
  <c r="AE80" i="37"/>
  <c r="AG80" i="37"/>
  <c r="AO80" i="37"/>
  <c r="AV80" i="37"/>
  <c r="O81" i="37"/>
  <c r="P81" i="37"/>
  <c r="T81" i="37" s="1"/>
  <c r="AA81" i="37"/>
  <c r="AI81" i="37" s="1"/>
  <c r="AE81" i="37"/>
  <c r="AG81" i="37"/>
  <c r="AO81" i="37"/>
  <c r="AV81" i="37"/>
  <c r="N83" i="37"/>
  <c r="P83" i="37" s="1"/>
  <c r="O83" i="37"/>
  <c r="R83" i="37" s="1"/>
  <c r="S83" i="37" s="1"/>
  <c r="Q83" i="37"/>
  <c r="M84" i="37"/>
  <c r="N84" i="37" s="1"/>
  <c r="AE84" i="37"/>
  <c r="AG84" i="37"/>
  <c r="AO84" i="37"/>
  <c r="AV84" i="37"/>
  <c r="N85" i="37"/>
  <c r="P85" i="37" s="1"/>
  <c r="T85" i="37" s="1"/>
  <c r="V85" i="37" s="1"/>
  <c r="O85" i="37"/>
  <c r="AE85" i="37"/>
  <c r="AG85" i="37"/>
  <c r="AO85" i="37"/>
  <c r="AV85" i="37"/>
  <c r="N86" i="37"/>
  <c r="Z86" i="37" s="1"/>
  <c r="AA86" i="37" s="1"/>
  <c r="O86" i="37"/>
  <c r="AE86" i="37"/>
  <c r="AG86" i="37"/>
  <c r="AO86" i="37"/>
  <c r="AV86" i="37"/>
  <c r="N87" i="37"/>
  <c r="Z87" i="37" s="1"/>
  <c r="AA87" i="37" s="1"/>
  <c r="O87" i="37"/>
  <c r="AE87" i="37"/>
  <c r="AG87" i="37"/>
  <c r="AO87" i="37"/>
  <c r="AV87" i="37"/>
  <c r="N88" i="37"/>
  <c r="Z88" i="37" s="1"/>
  <c r="O88" i="37"/>
  <c r="Y88" i="37"/>
  <c r="AE88" i="37"/>
  <c r="AG88" i="37"/>
  <c r="AO88" i="37"/>
  <c r="AV88" i="37"/>
  <c r="O90" i="37"/>
  <c r="R90" i="37" s="1"/>
  <c r="S90" i="37" s="1"/>
  <c r="P90" i="37"/>
  <c r="T90" i="37" s="1"/>
  <c r="V90" i="37" s="1"/>
  <c r="Q90" i="37"/>
  <c r="O91" i="37"/>
  <c r="P91" i="37"/>
  <c r="T91" i="37" s="1"/>
  <c r="AA91" i="37"/>
  <c r="AX91" i="37" s="1"/>
  <c r="AE91" i="37"/>
  <c r="AG91" i="37"/>
  <c r="AO91" i="37"/>
  <c r="AV91" i="37"/>
  <c r="O93" i="37"/>
  <c r="R93" i="37" s="1"/>
  <c r="P93" i="37"/>
  <c r="T93" i="37" s="1"/>
  <c r="Q93" i="37"/>
  <c r="S93" i="37" s="1"/>
  <c r="O94" i="37"/>
  <c r="P94" i="37"/>
  <c r="T94" i="37" s="1"/>
  <c r="U94" i="37" s="1"/>
  <c r="AA94" i="37"/>
  <c r="AX94" i="37" s="1"/>
  <c r="AE94" i="37"/>
  <c r="AG94" i="37"/>
  <c r="AO94" i="37"/>
  <c r="AV94" i="37"/>
  <c r="O96" i="37"/>
  <c r="R96" i="37" s="1"/>
  <c r="P96" i="37"/>
  <c r="Q96" i="37"/>
  <c r="S96" i="37" s="1"/>
  <c r="O97" i="37"/>
  <c r="P97" i="37"/>
  <c r="T97" i="37" s="1"/>
  <c r="AA97" i="37"/>
  <c r="AQ97" i="37" s="1"/>
  <c r="AE97" i="37"/>
  <c r="AG97" i="37"/>
  <c r="AO97" i="37"/>
  <c r="AV97" i="37"/>
  <c r="O98" i="37"/>
  <c r="P98" i="37"/>
  <c r="AA98" i="37"/>
  <c r="AE98" i="37"/>
  <c r="AG98" i="37"/>
  <c r="AO98" i="37"/>
  <c r="AV98" i="37"/>
  <c r="O100" i="37"/>
  <c r="R100" i="37" s="1"/>
  <c r="P100" i="37"/>
  <c r="T100" i="37" s="1"/>
  <c r="U100" i="37" s="1"/>
  <c r="Q100" i="37"/>
  <c r="S100" i="37" s="1"/>
  <c r="O101" i="37"/>
  <c r="P101" i="37"/>
  <c r="T101" i="37" s="1"/>
  <c r="AA101" i="37"/>
  <c r="AE101" i="37"/>
  <c r="AG101" i="37"/>
  <c r="AO101" i="37"/>
  <c r="AV101" i="37"/>
  <c r="O103" i="37"/>
  <c r="R103" i="37" s="1"/>
  <c r="P103" i="37"/>
  <c r="Q103" i="37"/>
  <c r="S103" i="37" s="1"/>
  <c r="O104" i="37"/>
  <c r="P104" i="37"/>
  <c r="T104" i="37" s="1"/>
  <c r="AA104" i="37"/>
  <c r="AX104" i="37" s="1"/>
  <c r="AE104" i="37"/>
  <c r="AG104" i="37"/>
  <c r="AO104" i="37"/>
  <c r="AV104" i="37"/>
  <c r="O106" i="37"/>
  <c r="R106" i="37" s="1"/>
  <c r="Q106" i="37"/>
  <c r="S106" i="37" s="1"/>
  <c r="AA107" i="37"/>
  <c r="AX107" i="37" s="1"/>
  <c r="AE107" i="37"/>
  <c r="AG107" i="37"/>
  <c r="AO107" i="37"/>
  <c r="AQ107" i="37"/>
  <c r="AV107" i="37"/>
  <c r="AE108" i="37"/>
  <c r="AG108" i="37"/>
  <c r="AO108" i="37"/>
  <c r="AV108" i="37"/>
  <c r="AA109" i="37"/>
  <c r="AI109" i="37" s="1"/>
  <c r="AE109" i="37"/>
  <c r="AG109" i="37"/>
  <c r="AO109" i="37"/>
  <c r="AV109" i="37"/>
  <c r="O111" i="37"/>
  <c r="R111" i="37" s="1"/>
  <c r="S111" i="37" s="1"/>
  <c r="P111" i="37"/>
  <c r="T111" i="37" s="1"/>
  <c r="U111" i="37" s="1"/>
  <c r="Q111" i="37"/>
  <c r="O112" i="37"/>
  <c r="P112" i="37"/>
  <c r="T112" i="37" s="1"/>
  <c r="V112" i="37" s="1"/>
  <c r="AA112" i="37"/>
  <c r="AI112" i="37" s="1"/>
  <c r="AE112" i="37"/>
  <c r="AG112" i="37"/>
  <c r="AO112" i="37"/>
  <c r="AV112" i="37"/>
  <c r="O114" i="37"/>
  <c r="R114" i="37" s="1"/>
  <c r="P114" i="37"/>
  <c r="T114" i="37" s="1"/>
  <c r="Q114" i="37"/>
  <c r="S114" i="37" s="1"/>
  <c r="AA114" i="37"/>
  <c r="AI114" i="37" s="1"/>
  <c r="AE114" i="37"/>
  <c r="AG114" i="37"/>
  <c r="AO114" i="37"/>
  <c r="AV114" i="37"/>
  <c r="O116" i="37"/>
  <c r="R116" i="37" s="1"/>
  <c r="P116" i="37"/>
  <c r="T116" i="37" s="1"/>
  <c r="Q116" i="37"/>
  <c r="S116" i="37" s="1"/>
  <c r="O117" i="37"/>
  <c r="P117" i="37"/>
  <c r="T117" i="37" s="1"/>
  <c r="U117" i="37" s="1"/>
  <c r="AA117" i="37"/>
  <c r="AQ117" i="37" s="1"/>
  <c r="AE117" i="37"/>
  <c r="AG117" i="37"/>
  <c r="AO117" i="37"/>
  <c r="AV117" i="37"/>
  <c r="O118" i="37"/>
  <c r="P118" i="37"/>
  <c r="T118" i="37" s="1"/>
  <c r="AA118" i="37"/>
  <c r="AQ118" i="37" s="1"/>
  <c r="AE118" i="37"/>
  <c r="AG118" i="37"/>
  <c r="AO118" i="37"/>
  <c r="AV118" i="37"/>
  <c r="O119" i="37"/>
  <c r="P119" i="37"/>
  <c r="T119" i="37" s="1"/>
  <c r="AA119" i="37"/>
  <c r="AE119" i="37"/>
  <c r="AG119" i="37"/>
  <c r="AO119" i="37"/>
  <c r="AV119" i="37"/>
  <c r="O120" i="37"/>
  <c r="P120" i="37"/>
  <c r="T120" i="37" s="1"/>
  <c r="AA120" i="37"/>
  <c r="AX120" i="37" s="1"/>
  <c r="AG120" i="37"/>
  <c r="AO120" i="37"/>
  <c r="AV120" i="37"/>
  <c r="O121" i="37"/>
  <c r="P121" i="37"/>
  <c r="T121" i="37" s="1"/>
  <c r="AA121" i="37"/>
  <c r="AI121" i="37" s="1"/>
  <c r="AG121" i="37"/>
  <c r="AO121" i="37"/>
  <c r="AV121" i="37"/>
  <c r="O122" i="37"/>
  <c r="P122" i="37"/>
  <c r="T122" i="37" s="1"/>
  <c r="AA122" i="37"/>
  <c r="AQ122" i="37" s="1"/>
  <c r="AG122" i="37"/>
  <c r="AO122" i="37"/>
  <c r="AV122" i="37"/>
  <c r="O123" i="37"/>
  <c r="P123" i="37"/>
  <c r="T123" i="37" s="1"/>
  <c r="AA123" i="37"/>
  <c r="AX123" i="37" s="1"/>
  <c r="AG123" i="37"/>
  <c r="AO123" i="37"/>
  <c r="AV123" i="37"/>
  <c r="O124" i="37"/>
  <c r="P124" i="37"/>
  <c r="AA124" i="37"/>
  <c r="AI124" i="37" s="1"/>
  <c r="AE124" i="37"/>
  <c r="AG124" i="37"/>
  <c r="AO124" i="37"/>
  <c r="AV124" i="37"/>
  <c r="O126" i="37"/>
  <c r="R126" i="37" s="1"/>
  <c r="P126" i="37"/>
  <c r="T126" i="37" s="1"/>
  <c r="Q126" i="37"/>
  <c r="S126" i="37" s="1"/>
  <c r="O127" i="37"/>
  <c r="P127" i="37"/>
  <c r="T127" i="37" s="1"/>
  <c r="V127" i="37" s="1"/>
  <c r="AA127" i="37"/>
  <c r="AX127" i="37" s="1"/>
  <c r="AE127" i="37"/>
  <c r="AG127" i="37"/>
  <c r="AO127" i="37"/>
  <c r="AV127" i="37"/>
  <c r="O129" i="37"/>
  <c r="R129" i="37" s="1"/>
  <c r="P129" i="37"/>
  <c r="Q129" i="37"/>
  <c r="S129" i="37" s="1"/>
  <c r="O130" i="37"/>
  <c r="P130" i="37"/>
  <c r="T130" i="37" s="1"/>
  <c r="V130" i="37" s="1"/>
  <c r="AA130" i="37"/>
  <c r="AI130" i="37" s="1"/>
  <c r="AE130" i="37"/>
  <c r="AG130" i="37"/>
  <c r="AO130" i="37"/>
  <c r="AV130" i="37"/>
  <c r="O132" i="37"/>
  <c r="R132" i="37" s="1"/>
  <c r="P132" i="37"/>
  <c r="Q132" i="37"/>
  <c r="S132" i="37" s="1"/>
  <c r="O133" i="37"/>
  <c r="P133" i="37"/>
  <c r="T133" i="37" s="1"/>
  <c r="AA133" i="37"/>
  <c r="AI133" i="37" s="1"/>
  <c r="AE133" i="37"/>
  <c r="AG133" i="37"/>
  <c r="AO133" i="37"/>
  <c r="AV133" i="37"/>
  <c r="O135" i="37"/>
  <c r="R135" i="37" s="1"/>
  <c r="S135" i="37" s="1"/>
  <c r="P135" i="37"/>
  <c r="T135" i="37" s="1"/>
  <c r="Q135" i="37"/>
  <c r="O136" i="37"/>
  <c r="P136" i="37"/>
  <c r="T136" i="37" s="1"/>
  <c r="AA136" i="37"/>
  <c r="AX136" i="37" s="1"/>
  <c r="AE136" i="37"/>
  <c r="AG136" i="37"/>
  <c r="AO136" i="37"/>
  <c r="AV136" i="37"/>
  <c r="O138" i="37"/>
  <c r="R138" i="37" s="1"/>
  <c r="P138" i="37"/>
  <c r="T138" i="37" s="1"/>
  <c r="Q138" i="37"/>
  <c r="S138" i="37" s="1"/>
  <c r="O139" i="37"/>
  <c r="P139" i="37"/>
  <c r="T139" i="37" s="1"/>
  <c r="AA139" i="37"/>
  <c r="AE139" i="37"/>
  <c r="AG139" i="37"/>
  <c r="AO139" i="37"/>
  <c r="AV139" i="37"/>
  <c r="O141" i="37"/>
  <c r="R141" i="37" s="1"/>
  <c r="P141" i="37"/>
  <c r="W141" i="37" s="1"/>
  <c r="Q141" i="37"/>
  <c r="S141" i="37" s="1"/>
  <c r="O142" i="37"/>
  <c r="P142" i="37"/>
  <c r="T142" i="37" s="1"/>
  <c r="AA142" i="37"/>
  <c r="AQ142" i="37" s="1"/>
  <c r="AE142" i="37"/>
  <c r="AG142" i="37"/>
  <c r="AO142" i="37"/>
  <c r="AV142" i="37"/>
  <c r="O144" i="37"/>
  <c r="R144" i="37" s="1"/>
  <c r="P144" i="37"/>
  <c r="W144" i="37" s="1"/>
  <c r="Q144" i="37"/>
  <c r="S144" i="37" s="1"/>
  <c r="O145" i="37"/>
  <c r="P145" i="37"/>
  <c r="T145" i="37" s="1"/>
  <c r="U145" i="37" s="1"/>
  <c r="AA145" i="37"/>
  <c r="AX145" i="37" s="1"/>
  <c r="AE145" i="37"/>
  <c r="AG145" i="37"/>
  <c r="AO145" i="37"/>
  <c r="AV145" i="37"/>
  <c r="O147" i="37"/>
  <c r="R147" i="37" s="1"/>
  <c r="P147" i="37"/>
  <c r="T147" i="37" s="1"/>
  <c r="Q147" i="37"/>
  <c r="S147" i="37" s="1"/>
  <c r="O148" i="37"/>
  <c r="P148" i="37"/>
  <c r="T148" i="37" s="1"/>
  <c r="AD148" i="37" s="1"/>
  <c r="AA148" i="37"/>
  <c r="AX148" i="37" s="1"/>
  <c r="AG148" i="37"/>
  <c r="AO148" i="37"/>
  <c r="AV148" i="37"/>
  <c r="O149" i="37"/>
  <c r="P149" i="37"/>
  <c r="AA149" i="37"/>
  <c r="AX149" i="37" s="1"/>
  <c r="AE149" i="37"/>
  <c r="AG149" i="37"/>
  <c r="AO149" i="37"/>
  <c r="AV149" i="37"/>
  <c r="O151" i="37"/>
  <c r="R151" i="37" s="1"/>
  <c r="P151" i="37"/>
  <c r="T151" i="37" s="1"/>
  <c r="Q151" i="37"/>
  <c r="S151" i="37" s="1"/>
  <c r="O152" i="37"/>
  <c r="P152" i="37"/>
  <c r="T152" i="37" s="1"/>
  <c r="V152" i="37" s="1"/>
  <c r="AA152" i="37"/>
  <c r="AE152" i="37"/>
  <c r="AG152" i="37"/>
  <c r="AO152" i="37"/>
  <c r="AV152" i="37"/>
  <c r="O153" i="37"/>
  <c r="P153" i="37"/>
  <c r="AA153" i="37"/>
  <c r="AX153" i="37" s="1"/>
  <c r="AE153" i="37"/>
  <c r="AG153" i="37"/>
  <c r="AO153" i="37"/>
  <c r="AV153" i="37"/>
  <c r="O154" i="37"/>
  <c r="P154" i="37"/>
  <c r="AA154" i="37"/>
  <c r="AX154" i="37" s="1"/>
  <c r="AE154" i="37"/>
  <c r="AG154" i="37"/>
  <c r="AO154" i="37"/>
  <c r="AQ154" i="37"/>
  <c r="AV154" i="37"/>
  <c r="O156" i="37"/>
  <c r="R156" i="37" s="1"/>
  <c r="P156" i="37"/>
  <c r="T156" i="37" s="1"/>
  <c r="Q156" i="37"/>
  <c r="S156" i="37" s="1"/>
  <c r="O157" i="37"/>
  <c r="P157" i="37"/>
  <c r="T157" i="37" s="1"/>
  <c r="U157" i="37" s="1"/>
  <c r="AA157" i="37"/>
  <c r="AE157" i="37"/>
  <c r="AG157" i="37"/>
  <c r="AO157" i="37"/>
  <c r="AV157" i="37"/>
  <c r="O158" i="37"/>
  <c r="P158" i="37"/>
  <c r="AA158" i="37"/>
  <c r="AI158" i="37" s="1"/>
  <c r="AE158" i="37"/>
  <c r="AG158" i="37"/>
  <c r="AO158" i="37"/>
  <c r="AV158" i="37"/>
  <c r="O160" i="37"/>
  <c r="R160" i="37" s="1"/>
  <c r="P160" i="37"/>
  <c r="T160" i="37" s="1"/>
  <c r="U160" i="37" s="1"/>
  <c r="Q160" i="37"/>
  <c r="S160" i="37" s="1"/>
  <c r="O161" i="37"/>
  <c r="P161" i="37"/>
  <c r="T161" i="37" s="1"/>
  <c r="V161" i="37" s="1"/>
  <c r="AA161" i="37"/>
  <c r="AX161" i="37" s="1"/>
  <c r="AE161" i="37"/>
  <c r="AG161" i="37"/>
  <c r="AO161" i="37"/>
  <c r="AV161" i="37"/>
  <c r="O162" i="37"/>
  <c r="P162" i="37"/>
  <c r="T162" i="37" s="1"/>
  <c r="V162" i="37" s="1"/>
  <c r="AA162" i="37"/>
  <c r="AQ162" i="37" s="1"/>
  <c r="AE162" i="37"/>
  <c r="AG162" i="37"/>
  <c r="AO162" i="37"/>
  <c r="AV162" i="37"/>
  <c r="O164" i="37"/>
  <c r="R164" i="37" s="1"/>
  <c r="P164" i="37"/>
  <c r="T164" i="37" s="1"/>
  <c r="Q164" i="37"/>
  <c r="S164" i="37" s="1"/>
  <c r="O165" i="37"/>
  <c r="R165" i="37" s="1"/>
  <c r="P165" i="37"/>
  <c r="T165" i="37" s="1"/>
  <c r="Q165" i="37"/>
  <c r="S165" i="37" s="1"/>
  <c r="O166" i="37"/>
  <c r="R166" i="37" s="1"/>
  <c r="P166" i="37"/>
  <c r="T166" i="37" s="1"/>
  <c r="U166" i="37" s="1"/>
  <c r="Q166" i="37"/>
  <c r="S166" i="37" s="1"/>
  <c r="O167" i="37"/>
  <c r="P167" i="37"/>
  <c r="T167" i="37" s="1"/>
  <c r="U167" i="37" s="1"/>
  <c r="AA167" i="37"/>
  <c r="AX167" i="37" s="1"/>
  <c r="AE167" i="37"/>
  <c r="AG167" i="37"/>
  <c r="AO167" i="37"/>
  <c r="AV167" i="37"/>
  <c r="O168" i="37"/>
  <c r="P168" i="37"/>
  <c r="AA168" i="37"/>
  <c r="AG168" i="37"/>
  <c r="AO168" i="37"/>
  <c r="AV168" i="37"/>
  <c r="O169" i="37"/>
  <c r="P169" i="37"/>
  <c r="AA169" i="37"/>
  <c r="AI169" i="37" s="1"/>
  <c r="AE169" i="37"/>
  <c r="AG169" i="37"/>
  <c r="AO169" i="37"/>
  <c r="AV169" i="37"/>
  <c r="O171" i="37"/>
  <c r="P171" i="37"/>
  <c r="T171" i="37" s="1"/>
  <c r="AA171" i="37"/>
  <c r="AI171" i="37" s="1"/>
  <c r="AE171" i="37"/>
  <c r="AG171" i="37"/>
  <c r="AO171" i="37"/>
  <c r="AV171" i="37"/>
  <c r="AA172" i="37"/>
  <c r="AQ172" i="37" s="1"/>
  <c r="AG172" i="37"/>
  <c r="AO172" i="37"/>
  <c r="AV172" i="37"/>
  <c r="AA173" i="37"/>
  <c r="AX173" i="37" s="1"/>
  <c r="AE173" i="37"/>
  <c r="AG173" i="37"/>
  <c r="AO173" i="37"/>
  <c r="AV173" i="37"/>
  <c r="O175" i="37"/>
  <c r="R175" i="37" s="1"/>
  <c r="S175" i="37" s="1"/>
  <c r="P175" i="37"/>
  <c r="T175" i="37" s="1"/>
  <c r="Q175" i="37"/>
  <c r="O176" i="37"/>
  <c r="P176" i="37"/>
  <c r="T176" i="37" s="1"/>
  <c r="U176" i="37" s="1"/>
  <c r="AA176" i="37"/>
  <c r="AI176" i="37" s="1"/>
  <c r="AE176" i="37"/>
  <c r="AG176" i="37"/>
  <c r="AO176" i="37"/>
  <c r="AV176" i="37"/>
  <c r="O177" i="37"/>
  <c r="P177" i="37"/>
  <c r="T177" i="37" s="1"/>
  <c r="AA177" i="37"/>
  <c r="AX177" i="37" s="1"/>
  <c r="AE177" i="37"/>
  <c r="AG177" i="37"/>
  <c r="AO177" i="37"/>
  <c r="AV177" i="37"/>
  <c r="O179" i="37"/>
  <c r="R179" i="37" s="1"/>
  <c r="P179" i="37"/>
  <c r="T179" i="37" s="1"/>
  <c r="U179" i="37" s="1"/>
  <c r="Q179" i="37"/>
  <c r="S179" i="37" s="1"/>
  <c r="O180" i="37"/>
  <c r="AA180" i="37"/>
  <c r="AX180" i="37" s="1"/>
  <c r="AE180" i="37"/>
  <c r="AG180" i="37"/>
  <c r="AO180" i="37"/>
  <c r="AV180" i="37"/>
  <c r="O181" i="37"/>
  <c r="P181" i="37"/>
  <c r="T181" i="37" s="1"/>
  <c r="AA181" i="37"/>
  <c r="AE181" i="37"/>
  <c r="AG181" i="37"/>
  <c r="AO181" i="37"/>
  <c r="AV181" i="37"/>
  <c r="O182" i="37"/>
  <c r="AA182" i="37"/>
  <c r="AE182" i="37"/>
  <c r="AG182" i="37"/>
  <c r="AO182" i="37"/>
  <c r="AV182" i="37"/>
  <c r="O184" i="37"/>
  <c r="R184" i="37" s="1"/>
  <c r="P184" i="37"/>
  <c r="Q184" i="37"/>
  <c r="S184" i="37" s="1"/>
  <c r="O185" i="37"/>
  <c r="P185" i="37"/>
  <c r="T185" i="37" s="1"/>
  <c r="U185" i="37" s="1"/>
  <c r="AA185" i="37"/>
  <c r="AQ185" i="37" s="1"/>
  <c r="AE185" i="37"/>
  <c r="AG185" i="37"/>
  <c r="AO185" i="37"/>
  <c r="AV185" i="37"/>
  <c r="O186" i="37"/>
  <c r="P186" i="37"/>
  <c r="AA186" i="37"/>
  <c r="AX186" i="37" s="1"/>
  <c r="AE186" i="37"/>
  <c r="AG186" i="37"/>
  <c r="AO186" i="37"/>
  <c r="AV186" i="37"/>
  <c r="O188" i="37"/>
  <c r="R188" i="37" s="1"/>
  <c r="P188" i="37"/>
  <c r="T188" i="37" s="1"/>
  <c r="Q188" i="37"/>
  <c r="S188" i="37" s="1"/>
  <c r="O189" i="37"/>
  <c r="P189" i="37"/>
  <c r="T189" i="37" s="1"/>
  <c r="AA189" i="37"/>
  <c r="AI189" i="37" s="1"/>
  <c r="AE189" i="37"/>
  <c r="AG189" i="37"/>
  <c r="AO189" i="37"/>
  <c r="AV189" i="37"/>
  <c r="O191" i="37"/>
  <c r="R191" i="37" s="1"/>
  <c r="P191" i="37"/>
  <c r="T191" i="37" s="1"/>
  <c r="U191" i="37" s="1"/>
  <c r="Q191" i="37"/>
  <c r="S191" i="37" s="1"/>
  <c r="O192" i="37"/>
  <c r="P192" i="37"/>
  <c r="T192" i="37" s="1"/>
  <c r="U192" i="37" s="1"/>
  <c r="AA192" i="37"/>
  <c r="AI192" i="37" s="1"/>
  <c r="AE192" i="37"/>
  <c r="AG192" i="37"/>
  <c r="AO192" i="37"/>
  <c r="AV192" i="37"/>
  <c r="O193" i="37"/>
  <c r="P193" i="37"/>
  <c r="AA193" i="37"/>
  <c r="AQ193" i="37" s="1"/>
  <c r="AE193" i="37"/>
  <c r="AG193" i="37"/>
  <c r="AO193" i="37"/>
  <c r="AV193" i="37"/>
  <c r="O195" i="37"/>
  <c r="R195" i="37" s="1"/>
  <c r="S195" i="37" s="1"/>
  <c r="P195" i="37"/>
  <c r="Q195" i="37"/>
  <c r="O196" i="37"/>
  <c r="P196" i="37"/>
  <c r="T196" i="37" s="1"/>
  <c r="AA196" i="37"/>
  <c r="AQ196" i="37" s="1"/>
  <c r="AE196" i="37"/>
  <c r="AG196" i="37"/>
  <c r="AO196" i="37"/>
  <c r="AV196" i="37"/>
  <c r="O198" i="37"/>
  <c r="R198" i="37" s="1"/>
  <c r="P198" i="37"/>
  <c r="T198" i="37" s="1"/>
  <c r="Q198" i="37"/>
  <c r="S198" i="37" s="1"/>
  <c r="O199" i="37"/>
  <c r="R199" i="37" s="1"/>
  <c r="P199" i="37"/>
  <c r="T199" i="37" s="1"/>
  <c r="Q199" i="37"/>
  <c r="S199" i="37" s="1"/>
  <c r="M200" i="37"/>
  <c r="O200" i="37" s="1"/>
  <c r="R200" i="37" s="1"/>
  <c r="N200" i="37"/>
  <c r="P200" i="37" s="1"/>
  <c r="T200" i="37" s="1"/>
  <c r="Q200" i="37"/>
  <c r="S200" i="37" s="1"/>
  <c r="O201" i="37"/>
  <c r="P201" i="37"/>
  <c r="T201" i="37" s="1"/>
  <c r="V201" i="37" s="1"/>
  <c r="AA201" i="37"/>
  <c r="AQ201" i="37" s="1"/>
  <c r="AE201" i="37"/>
  <c r="AG201" i="37"/>
  <c r="AO201" i="37"/>
  <c r="AV201" i="37"/>
  <c r="O202" i="37"/>
  <c r="P202" i="37"/>
  <c r="T202" i="37" s="1"/>
  <c r="AA202" i="37"/>
  <c r="AX202" i="37" s="1"/>
  <c r="AE202" i="37"/>
  <c r="AG202" i="37"/>
  <c r="AO202" i="37"/>
  <c r="AV202" i="37"/>
  <c r="O203" i="37"/>
  <c r="P203" i="37"/>
  <c r="T203" i="37" s="1"/>
  <c r="V203" i="37" s="1"/>
  <c r="AA203" i="37"/>
  <c r="AX203" i="37" s="1"/>
  <c r="AE203" i="37"/>
  <c r="AG203" i="37"/>
  <c r="AO203" i="37"/>
  <c r="AV203" i="37"/>
  <c r="O204" i="37"/>
  <c r="P204" i="37"/>
  <c r="T204" i="37" s="1"/>
  <c r="AA204" i="37"/>
  <c r="AI204" i="37" s="1"/>
  <c r="AE204" i="37"/>
  <c r="AG204" i="37"/>
  <c r="AO204" i="37"/>
  <c r="AV204" i="37"/>
  <c r="O206" i="37"/>
  <c r="R206" i="37" s="1"/>
  <c r="P206" i="37"/>
  <c r="T206" i="37" s="1"/>
  <c r="U206" i="37" s="1"/>
  <c r="Q206" i="37"/>
  <c r="S206" i="37" s="1"/>
  <c r="O207" i="37"/>
  <c r="P207" i="37"/>
  <c r="T207" i="37" s="1"/>
  <c r="AA207" i="37"/>
  <c r="AI207" i="37" s="1"/>
  <c r="AE207" i="37"/>
  <c r="AG207" i="37"/>
  <c r="AV207" i="37"/>
  <c r="B34" i="29"/>
  <c r="C34" i="29"/>
  <c r="E9" i="36"/>
  <c r="G9" i="36"/>
  <c r="E10" i="36"/>
  <c r="G10" i="36"/>
  <c r="E11" i="36"/>
  <c r="E12" i="36"/>
  <c r="G12" i="36"/>
  <c r="C4" i="32" s="1"/>
  <c r="E13" i="36"/>
  <c r="G13" i="36"/>
  <c r="E14" i="36"/>
  <c r="G14" i="36"/>
  <c r="E19" i="36"/>
  <c r="E20" i="36"/>
  <c r="H20" i="36"/>
  <c r="E21" i="36"/>
  <c r="H21" i="36"/>
  <c r="E22" i="36"/>
  <c r="H22" i="36"/>
  <c r="E23" i="36"/>
  <c r="H23" i="36"/>
  <c r="E24" i="36"/>
  <c r="H24" i="36"/>
  <c r="E28" i="36"/>
  <c r="G28" i="36" s="1"/>
  <c r="F28" i="36"/>
  <c r="H28" i="36"/>
  <c r="E29" i="36"/>
  <c r="G29" i="36" s="1"/>
  <c r="F29" i="36"/>
  <c r="H29" i="36"/>
  <c r="E30" i="36"/>
  <c r="G30" i="36" s="1"/>
  <c r="F30" i="36"/>
  <c r="H30" i="36"/>
  <c r="E31" i="36"/>
  <c r="G31" i="36" s="1"/>
  <c r="F31" i="36"/>
  <c r="H31" i="36"/>
  <c r="E32" i="36"/>
  <c r="G32" i="36" s="1"/>
  <c r="F32" i="36"/>
  <c r="H32" i="36"/>
  <c r="E33" i="36"/>
  <c r="G33" i="36" s="1"/>
  <c r="F33" i="36"/>
  <c r="H33" i="36"/>
  <c r="D37" i="36"/>
  <c r="E37" i="36"/>
  <c r="E38" i="36"/>
  <c r="E39" i="36"/>
  <c r="E40" i="36"/>
  <c r="E41" i="36"/>
  <c r="E42" i="36"/>
  <c r="M299" i="30"/>
  <c r="Q299" i="30" s="1"/>
  <c r="R179" i="30"/>
  <c r="R44" i="30"/>
  <c r="M123" i="30"/>
  <c r="Q123" i="30" s="1"/>
  <c r="R134" i="30"/>
  <c r="R29" i="30"/>
  <c r="M326" i="30"/>
  <c r="S326" i="30" s="1"/>
  <c r="AN48" i="30"/>
  <c r="R102" i="30"/>
  <c r="AC102" i="30" s="1"/>
  <c r="R150" i="30"/>
  <c r="M203" i="30"/>
  <c r="S203" i="30" s="1"/>
  <c r="R57" i="30"/>
  <c r="R195" i="30"/>
  <c r="R125" i="30"/>
  <c r="M165" i="30"/>
  <c r="T165" i="30" s="1"/>
  <c r="M322" i="30"/>
  <c r="T322" i="30" s="1"/>
  <c r="M98" i="30"/>
  <c r="T98" i="30" s="1"/>
  <c r="R39" i="30"/>
  <c r="W65" i="30"/>
  <c r="AN65" i="30" s="1"/>
  <c r="R203" i="30"/>
  <c r="M18" i="30"/>
  <c r="Q18" i="30" s="1"/>
  <c r="R165" i="30"/>
  <c r="M124" i="30"/>
  <c r="Q124" i="30" s="1"/>
  <c r="R228" i="30"/>
  <c r="M250" i="30"/>
  <c r="Q250" i="30" s="1"/>
  <c r="M272" i="30"/>
  <c r="T272" i="30" s="1"/>
  <c r="W52" i="30"/>
  <c r="AI52" i="30" s="1"/>
  <c r="R62" i="30"/>
  <c r="AD309" i="30"/>
  <c r="R171" i="30"/>
  <c r="R79" i="30"/>
  <c r="M286" i="30"/>
  <c r="M44" i="30"/>
  <c r="S44" i="30" s="1"/>
  <c r="Q44" i="30"/>
  <c r="Q39" i="30"/>
  <c r="R24" i="30"/>
  <c r="AI330" i="30"/>
  <c r="M70" i="30"/>
  <c r="S70" i="30" s="1"/>
  <c r="R70" i="30"/>
  <c r="R219" i="30"/>
  <c r="R123" i="30"/>
  <c r="M122" i="30"/>
  <c r="T122" i="30" s="1"/>
  <c r="R254" i="30"/>
  <c r="M270" i="30"/>
  <c r="Q270" i="30" s="1"/>
  <c r="R207" i="30"/>
  <c r="M150" i="30"/>
  <c r="T150" i="30" s="1"/>
  <c r="W63" i="30"/>
  <c r="AI63" i="30" s="1"/>
  <c r="R161" i="30"/>
  <c r="W217" i="30"/>
  <c r="AD217" i="30" s="1"/>
  <c r="W64" i="30"/>
  <c r="AD64" i="30" s="1"/>
  <c r="W57" i="30"/>
  <c r="AI57" i="30" s="1"/>
  <c r="M16" i="30"/>
  <c r="R146" i="30"/>
  <c r="W260" i="30"/>
  <c r="AN260" i="30" s="1"/>
  <c r="AI62" i="30"/>
  <c r="M317" i="30"/>
  <c r="S317" i="30" s="1"/>
  <c r="M223" i="30"/>
  <c r="T223" i="30" s="1"/>
  <c r="R215" i="30"/>
  <c r="AA215" i="30" s="1"/>
  <c r="R326" i="30"/>
  <c r="W24" i="30"/>
  <c r="AN24" i="30" s="1"/>
  <c r="M89" i="30"/>
  <c r="T89" i="30" s="1"/>
  <c r="W212" i="30"/>
  <c r="AD212" i="30" s="1"/>
  <c r="W209" i="30"/>
  <c r="M102" i="30"/>
  <c r="Q102" i="30" s="1"/>
  <c r="M119" i="30"/>
  <c r="S119" i="30" s="1"/>
  <c r="R321" i="30"/>
  <c r="AC321" i="30" s="1"/>
  <c r="M156" i="30"/>
  <c r="S156" i="30" s="1"/>
  <c r="M256" i="30"/>
  <c r="S256" i="30" s="1"/>
  <c r="M138" i="30"/>
  <c r="S138" i="30" s="1"/>
  <c r="R193" i="30"/>
  <c r="AA193" i="30" s="1"/>
  <c r="M193" i="30"/>
  <c r="R142" i="30"/>
  <c r="R270" i="30"/>
  <c r="W103" i="30"/>
  <c r="AD103" i="30" s="1"/>
  <c r="M103" i="30"/>
  <c r="S103" i="30" s="1"/>
  <c r="R180" i="30"/>
  <c r="W31" i="30"/>
  <c r="AN31" i="30" s="1"/>
  <c r="R31" i="30"/>
  <c r="M31" i="30"/>
  <c r="T31" i="30" s="1"/>
  <c r="AD272" i="30"/>
  <c r="M268" i="30"/>
  <c r="W268" i="30"/>
  <c r="AI268" i="30" s="1"/>
  <c r="R268" i="30"/>
  <c r="R303" i="30"/>
  <c r="W186" i="30"/>
  <c r="AD186" i="30" s="1"/>
  <c r="M213" i="30"/>
  <c r="Q213" i="30" s="1"/>
  <c r="R281" i="30"/>
  <c r="AI262" i="30"/>
  <c r="M108" i="30"/>
  <c r="T108" i="30" s="1"/>
  <c r="M121" i="30"/>
  <c r="Q121" i="30" s="1"/>
  <c r="W281" i="30"/>
  <c r="AI281" i="30" s="1"/>
  <c r="M281" i="30"/>
  <c r="Q281" i="30" s="1"/>
  <c r="R269" i="30"/>
  <c r="M269" i="30"/>
  <c r="Q269" i="30" s="1"/>
  <c r="AD70" i="30"/>
  <c r="AE70" i="30" s="1"/>
  <c r="R266" i="30"/>
  <c r="M266" i="30"/>
  <c r="T266" i="30" s="1"/>
  <c r="W266" i="30"/>
  <c r="AI266" i="30" s="1"/>
  <c r="M255" i="30"/>
  <c r="R156" i="30"/>
  <c r="M321" i="30"/>
  <c r="Q321" i="30" s="1"/>
  <c r="AD262" i="30"/>
  <c r="M212" i="30"/>
  <c r="Q212" i="30" s="1"/>
  <c r="AN94" i="30"/>
  <c r="M298" i="30"/>
  <c r="Q298" i="30" s="1"/>
  <c r="M125" i="30"/>
  <c r="Q125" i="30" s="1"/>
  <c r="W118" i="30"/>
  <c r="AD118" i="30" s="1"/>
  <c r="R25" i="30"/>
  <c r="W267" i="30"/>
  <c r="AN267" i="30" s="1"/>
  <c r="M267" i="30"/>
  <c r="S267" i="30" s="1"/>
  <c r="R98" i="30"/>
  <c r="AC98" i="30" s="1"/>
  <c r="R223" i="30"/>
  <c r="AC223" i="30" s="1"/>
  <c r="R322" i="30"/>
  <c r="M134" i="30"/>
  <c r="T134" i="30" s="1"/>
  <c r="R261" i="30"/>
  <c r="M155" i="30"/>
  <c r="Q155" i="30" s="1"/>
  <c r="R255" i="30"/>
  <c r="R97" i="30"/>
  <c r="M96" i="30"/>
  <c r="Q96" i="30" s="1"/>
  <c r="M330" i="30"/>
  <c r="T330" i="30" s="1"/>
  <c r="R109" i="30"/>
  <c r="M74" i="30"/>
  <c r="Q74" i="30" s="1"/>
  <c r="R74" i="30"/>
  <c r="R90" i="30"/>
  <c r="AC90" i="30" s="1"/>
  <c r="M90" i="30"/>
  <c r="R88" i="30"/>
  <c r="AC88" i="30" s="1"/>
  <c r="M88" i="30"/>
  <c r="S88" i="30" s="1"/>
  <c r="AH88" i="30" s="1"/>
  <c r="AI290" i="30"/>
  <c r="R130" i="30"/>
  <c r="M130" i="30"/>
  <c r="T130" i="30" s="1"/>
  <c r="R312" i="30"/>
  <c r="M309" i="30"/>
  <c r="M308" i="30"/>
  <c r="T308" i="30" s="1"/>
  <c r="M307" i="30"/>
  <c r="S307" i="30" s="1"/>
  <c r="AH307" i="30" s="1"/>
  <c r="M40" i="30"/>
  <c r="S40" i="30" s="1"/>
  <c r="R40" i="30"/>
  <c r="M109" i="30"/>
  <c r="M310" i="30"/>
  <c r="T310" i="30" s="1"/>
  <c r="R224" i="30"/>
  <c r="R295" i="30"/>
  <c r="R294" i="30"/>
  <c r="W218" i="30"/>
  <c r="AD218" i="30" s="1"/>
  <c r="M218" i="30"/>
  <c r="Q218" i="30" s="1"/>
  <c r="W110" i="30"/>
  <c r="AI110" i="30" s="1"/>
  <c r="R175" i="30"/>
  <c r="M78" i="30"/>
  <c r="Q78" i="30" s="1"/>
  <c r="W214" i="30"/>
  <c r="X214" i="30" s="1"/>
  <c r="W104" i="30"/>
  <c r="X104" i="30" s="1"/>
  <c r="Y104" i="30" s="1"/>
  <c r="M104" i="30"/>
  <c r="Q104" i="30" s="1"/>
  <c r="M194" i="30"/>
  <c r="S194" i="30" s="1"/>
  <c r="W119" i="30"/>
  <c r="AD119" i="30" s="1"/>
  <c r="R119" i="30"/>
  <c r="W56" i="30"/>
  <c r="AN56" i="30" s="1"/>
  <c r="W185" i="30"/>
  <c r="AN185" i="30" s="1"/>
  <c r="M185" i="30"/>
  <c r="Q185" i="30" s="1"/>
  <c r="AI156" i="30"/>
  <c r="M254" i="30"/>
  <c r="Q254" i="30" s="1"/>
  <c r="W219" i="30"/>
  <c r="AN219" i="30" s="1"/>
  <c r="R210" i="30"/>
  <c r="AC210" i="30" s="1"/>
  <c r="R30" i="30"/>
  <c r="W30" i="30"/>
  <c r="W154" i="30"/>
  <c r="X154" i="30" s="1"/>
  <c r="Y154" i="30" s="1"/>
  <c r="M154" i="30"/>
  <c r="S154" i="30" s="1"/>
  <c r="M66" i="30"/>
  <c r="R66" i="30"/>
  <c r="W61" i="30"/>
  <c r="X61" i="30" s="1"/>
  <c r="Y61" i="30" s="1"/>
  <c r="W313" i="30"/>
  <c r="X313" i="30" s="1"/>
  <c r="Y313" i="30" s="1"/>
  <c r="R112" i="30"/>
  <c r="R277" i="30"/>
  <c r="AC277" i="30" s="1"/>
  <c r="W169" i="30"/>
  <c r="AI169" i="30" s="1"/>
  <c r="M169" i="30"/>
  <c r="T169" i="30" s="1"/>
  <c r="R208" i="30"/>
  <c r="AA208" i="30" s="1"/>
  <c r="AD175" i="30"/>
  <c r="R290" i="30"/>
  <c r="M290" i="30"/>
  <c r="Q290" i="30" s="1"/>
  <c r="M297" i="30"/>
  <c r="Q297" i="30" s="1"/>
  <c r="M216" i="30"/>
  <c r="T216" i="30" s="1"/>
  <c r="R216" i="30"/>
  <c r="W117" i="30"/>
  <c r="X117" i="30" s="1"/>
  <c r="M241" i="30"/>
  <c r="S241" i="30" s="1"/>
  <c r="W261" i="30"/>
  <c r="X261" i="30" s="1"/>
  <c r="M261" i="30"/>
  <c r="T261" i="30" s="1"/>
  <c r="R96" i="30"/>
  <c r="AD95" i="30"/>
  <c r="W273" i="30"/>
  <c r="M94" i="30"/>
  <c r="T94" i="30" s="1"/>
  <c r="AO94" i="30" s="1"/>
  <c r="R94" i="30"/>
  <c r="AC94" i="30" s="1"/>
  <c r="T39" i="30"/>
  <c r="S215" i="30"/>
  <c r="Y24" i="26"/>
  <c r="Z24" i="26" s="1"/>
  <c r="R83" i="30"/>
  <c r="W83" i="30"/>
  <c r="AI83" i="30" s="1"/>
  <c r="M83" i="30"/>
  <c r="Q83" i="30" s="1"/>
  <c r="R35" i="30"/>
  <c r="M35" i="30"/>
  <c r="S35" i="30" s="1"/>
  <c r="R199" i="30"/>
  <c r="AE199" i="30" s="1"/>
  <c r="M199" i="30"/>
  <c r="S199" i="30" s="1"/>
  <c r="W199" i="30"/>
  <c r="AD199" i="30" s="1"/>
  <c r="R313" i="30"/>
  <c r="M313" i="30"/>
  <c r="Q313" i="30" s="1"/>
  <c r="R120" i="30"/>
  <c r="W120" i="30"/>
  <c r="AN120" i="30" s="1"/>
  <c r="M120" i="30"/>
  <c r="AI119" i="30"/>
  <c r="AI312" i="30"/>
  <c r="AD312" i="30"/>
  <c r="AN312" i="30"/>
  <c r="R311" i="30"/>
  <c r="M311" i="30"/>
  <c r="S311" i="30" s="1"/>
  <c r="M118" i="30"/>
  <c r="AI16" i="30"/>
  <c r="AN16" i="30"/>
  <c r="M111" i="30"/>
  <c r="Q111" i="30" s="1"/>
  <c r="R111" i="30"/>
  <c r="R110" i="30"/>
  <c r="M110" i="30"/>
  <c r="Q110" i="30" s="1"/>
  <c r="R78" i="30"/>
  <c r="W78" i="30"/>
  <c r="AI78" i="30" s="1"/>
  <c r="W295" i="30"/>
  <c r="AD295" i="30" s="1"/>
  <c r="M295" i="30"/>
  <c r="Q295" i="30" s="1"/>
  <c r="R217" i="30"/>
  <c r="AC217" i="30" s="1"/>
  <c r="M217" i="30"/>
  <c r="S217" i="30" s="1"/>
  <c r="AH217" i="30" s="1"/>
  <c r="M211" i="30"/>
  <c r="T211" i="30" s="1"/>
  <c r="R211" i="30"/>
  <c r="W211" i="30"/>
  <c r="AD211" i="30" s="1"/>
  <c r="R209" i="30"/>
  <c r="M209" i="30"/>
  <c r="Q209" i="30" s="1"/>
  <c r="R117" i="30"/>
  <c r="M117" i="30"/>
  <c r="S117" i="30" s="1"/>
  <c r="R116" i="30"/>
  <c r="M116" i="30"/>
  <c r="Q116" i="30" s="1"/>
  <c r="W161" i="30"/>
  <c r="X161" i="30" s="1"/>
  <c r="Y161" i="30" s="1"/>
  <c r="M161" i="30"/>
  <c r="T161" i="30" s="1"/>
  <c r="AD321" i="30"/>
  <c r="M17" i="30"/>
  <c r="T17" i="30" s="1"/>
  <c r="R17" i="30"/>
  <c r="M189" i="30"/>
  <c r="T189" i="30" s="1"/>
  <c r="R189" i="30"/>
  <c r="M188" i="30"/>
  <c r="R188" i="30"/>
  <c r="M157" i="30"/>
  <c r="Q157" i="30" s="1"/>
  <c r="M271" i="30"/>
  <c r="R271" i="30"/>
  <c r="AD98" i="30"/>
  <c r="R65" i="30"/>
  <c r="M65" i="30"/>
  <c r="Q65" i="30" s="1"/>
  <c r="W245" i="30"/>
  <c r="AI245" i="30" s="1"/>
  <c r="M245" i="30"/>
  <c r="Q245" i="30" s="1"/>
  <c r="R245" i="30"/>
  <c r="R56" i="30"/>
  <c r="AC56" i="30" s="1"/>
  <c r="M262" i="30"/>
  <c r="S262" i="30" s="1"/>
  <c r="W17" i="30"/>
  <c r="AN17" i="30" s="1"/>
  <c r="R184" i="30"/>
  <c r="AC184" i="30" s="1"/>
  <c r="M97" i="30"/>
  <c r="M112" i="30"/>
  <c r="S112" i="30" s="1"/>
  <c r="R108" i="30"/>
  <c r="M84" i="30"/>
  <c r="R84" i="30"/>
  <c r="W84" i="30"/>
  <c r="AI224" i="30"/>
  <c r="M95" i="30"/>
  <c r="S95" i="30" s="1"/>
  <c r="AD40" i="30"/>
  <c r="M232" i="30"/>
  <c r="Q232" i="30" s="1"/>
  <c r="R232" i="30"/>
  <c r="R317" i="30"/>
  <c r="AD303" i="30"/>
  <c r="M195" i="30"/>
  <c r="T195" i="30" s="1"/>
  <c r="W195" i="30"/>
  <c r="AD195" i="30" s="1"/>
  <c r="AN261" i="30"/>
  <c r="R214" i="30"/>
  <c r="AA214" i="30" s="1"/>
  <c r="R170" i="30"/>
  <c r="R308" i="30"/>
  <c r="M146" i="30"/>
  <c r="T146" i="30" s="1"/>
  <c r="W294" i="30"/>
  <c r="AN294" i="30" s="1"/>
  <c r="W138" i="30"/>
  <c r="AD138" i="30" s="1"/>
  <c r="R138" i="30"/>
  <c r="R194" i="30"/>
  <c r="W241" i="30"/>
  <c r="R241" i="30"/>
  <c r="M48" i="30"/>
  <c r="Q48" i="30" s="1"/>
  <c r="M186" i="30"/>
  <c r="S186" i="30" s="1"/>
  <c r="W22" i="30"/>
  <c r="AI22" i="30" s="1"/>
  <c r="R22" i="30"/>
  <c r="Q22" i="30"/>
  <c r="W282" i="30"/>
  <c r="X282" i="30" s="1"/>
  <c r="Y282" i="30" s="1"/>
  <c r="R282" i="30"/>
  <c r="R187" i="30"/>
  <c r="AA187" i="30" s="1"/>
  <c r="M260" i="30"/>
  <c r="S260" i="30" s="1"/>
  <c r="M64" i="30"/>
  <c r="T64" i="30" s="1"/>
  <c r="R64" i="30"/>
  <c r="R63" i="30"/>
  <c r="M63" i="30"/>
  <c r="M61" i="30"/>
  <c r="S61" i="30" s="1"/>
  <c r="AD326" i="30"/>
  <c r="AI326" i="30"/>
  <c r="M236" i="30"/>
  <c r="S236" i="30" s="1"/>
  <c r="R186" i="30"/>
  <c r="M282" i="30"/>
  <c r="S282" i="30" s="1"/>
  <c r="AH282" i="30" s="1"/>
  <c r="W29" i="30"/>
  <c r="X29" i="30" s="1"/>
  <c r="AI307" i="30"/>
  <c r="R103" i="30"/>
  <c r="AC103" i="30" s="1"/>
  <c r="W23" i="30"/>
  <c r="X23" i="30" s="1"/>
  <c r="Y23" i="30" s="1"/>
  <c r="M23" i="30"/>
  <c r="T23" i="30" s="1"/>
  <c r="M52" i="30"/>
  <c r="R52" i="30"/>
  <c r="M334" i="30"/>
  <c r="T334" i="30" s="1"/>
  <c r="M57" i="30"/>
  <c r="M30" i="30"/>
  <c r="Q30" i="30" s="1"/>
  <c r="R249" i="30"/>
  <c r="M249" i="30"/>
  <c r="Q249" i="30" s="1"/>
  <c r="R185" i="30"/>
  <c r="M129" i="30"/>
  <c r="S129" i="30" s="1"/>
  <c r="R169" i="30"/>
  <c r="M79" i="30"/>
  <c r="Q79" i="30" s="1"/>
  <c r="R286" i="30"/>
  <c r="AI165" i="30"/>
  <c r="W299" i="30"/>
  <c r="AI299" i="30" s="1"/>
  <c r="R299" i="30"/>
  <c r="AN199" i="30"/>
  <c r="T282" i="30"/>
  <c r="AD269" i="30"/>
  <c r="Q312" i="30"/>
  <c r="T294" i="30"/>
  <c r="S22" i="30"/>
  <c r="T22" i="30"/>
  <c r="AD18" i="30"/>
  <c r="AN254" i="30"/>
  <c r="AD214" i="30"/>
  <c r="AN124" i="30"/>
  <c r="T193" i="30"/>
  <c r="S65" i="30"/>
  <c r="S110" i="30"/>
  <c r="S90" i="30"/>
  <c r="AD74" i="30"/>
  <c r="AN89" i="30"/>
  <c r="Q25" i="30"/>
  <c r="S52" i="30"/>
  <c r="AD108" i="30"/>
  <c r="AD117" i="30"/>
  <c r="Q154" i="30"/>
  <c r="Q266" i="30"/>
  <c r="T44" i="30"/>
  <c r="AI249" i="30"/>
  <c r="AI213" i="30"/>
  <c r="AN83" i="30"/>
  <c r="AD90" i="30"/>
  <c r="AN90" i="30"/>
  <c r="AH39" i="30"/>
  <c r="T56" i="30"/>
  <c r="Q56" i="30"/>
  <c r="S56" i="30"/>
  <c r="AD216" i="30"/>
  <c r="Q84" i="30"/>
  <c r="AD129" i="30"/>
  <c r="AE129" i="30" s="1"/>
  <c r="Q277" i="30"/>
  <c r="AD57" i="30"/>
  <c r="AI297" i="30"/>
  <c r="AD297" i="30"/>
  <c r="Q207" i="30"/>
  <c r="T207" i="30"/>
  <c r="AI134" i="30"/>
  <c r="AN63" i="30"/>
  <c r="AD63" i="30"/>
  <c r="AI146" i="30"/>
  <c r="AD286" i="30"/>
  <c r="AN39" i="30"/>
  <c r="S272" i="30"/>
  <c r="Q272" i="30"/>
  <c r="AN223" i="30"/>
  <c r="AD223" i="30"/>
  <c r="AI223" i="30"/>
  <c r="AN171" i="30"/>
  <c r="AI171" i="30"/>
  <c r="AD187" i="30"/>
  <c r="S271" i="30"/>
  <c r="AD89" i="30"/>
  <c r="AI89" i="30"/>
  <c r="Q61" i="30"/>
  <c r="AD237" i="30"/>
  <c r="AI120" i="30"/>
  <c r="T29" i="30"/>
  <c r="T65" i="30"/>
  <c r="T268" i="30"/>
  <c r="T217" i="30"/>
  <c r="S185" i="30"/>
  <c r="S321" i="30"/>
  <c r="AN266" i="30"/>
  <c r="Q156" i="30"/>
  <c r="T156" i="30"/>
  <c r="AD150" i="30"/>
  <c r="AE150" i="30" s="1"/>
  <c r="S219" i="30"/>
  <c r="Q180" i="30"/>
  <c r="AI116" i="30"/>
  <c r="AD94" i="30"/>
  <c r="AI94" i="30"/>
  <c r="AN116" i="30"/>
  <c r="Q31" i="30"/>
  <c r="Q193" i="30"/>
  <c r="S193" i="30"/>
  <c r="Q171" i="30"/>
  <c r="AI155" i="30"/>
  <c r="AN88" i="30"/>
  <c r="AI88" i="30"/>
  <c r="AI61" i="30"/>
  <c r="AD267" i="30"/>
  <c r="Q108" i="30"/>
  <c r="AC39" i="30"/>
  <c r="S171" i="30"/>
  <c r="S179" i="30"/>
  <c r="T179" i="30"/>
  <c r="Q179" i="30"/>
  <c r="AI250" i="30"/>
  <c r="AN281" i="30"/>
  <c r="S89" i="30"/>
  <c r="AD25" i="30"/>
  <c r="AI210" i="30"/>
  <c r="AN210" i="30"/>
  <c r="AI102" i="30"/>
  <c r="AN321" i="30"/>
  <c r="AI194" i="30"/>
  <c r="S218" i="30"/>
  <c r="AD260" i="30"/>
  <c r="AE260" i="30" s="1"/>
  <c r="AI303" i="30"/>
  <c r="AN303" i="30"/>
  <c r="AN165" i="30"/>
  <c r="AD165" i="30"/>
  <c r="AE165" i="30" s="1"/>
  <c r="AD213" i="30"/>
  <c r="AN213" i="30"/>
  <c r="S208" i="30"/>
  <c r="T208" i="30"/>
  <c r="AM208" i="30" s="1"/>
  <c r="AD255" i="30"/>
  <c r="AD294" i="30"/>
  <c r="AN62" i="30"/>
  <c r="AD62" i="30"/>
  <c r="S223" i="30"/>
  <c r="T214" i="30"/>
  <c r="AI122" i="30"/>
  <c r="AN270" i="30"/>
  <c r="AN307" i="30"/>
  <c r="AI277" i="30"/>
  <c r="AJ277" i="30" s="1"/>
  <c r="AH321" i="30"/>
  <c r="AF24" i="26"/>
  <c r="H84" i="32"/>
  <c r="AA16" i="26"/>
  <c r="AB16" i="26" s="1"/>
  <c r="AG16" i="26" s="1"/>
  <c r="AO223" i="30"/>
  <c r="U20" i="26" l="1"/>
  <c r="V20" i="26" s="1"/>
  <c r="Q214" i="30"/>
  <c r="AI260" i="30"/>
  <c r="T218" i="30"/>
  <c r="AM218" i="30" s="1"/>
  <c r="AI321" i="30"/>
  <c r="AD61" i="30"/>
  <c r="AE61" i="30" s="1"/>
  <c r="AN103" i="30"/>
  <c r="AD266" i="30"/>
  <c r="AE266" i="30" s="1"/>
  <c r="AN161" i="30"/>
  <c r="AE223" i="30"/>
  <c r="AN228" i="30"/>
  <c r="S269" i="30"/>
  <c r="AH269" i="30" s="1"/>
  <c r="AD207" i="30"/>
  <c r="AN64" i="30"/>
  <c r="Q29" i="30"/>
  <c r="AN334" i="30"/>
  <c r="AO334" i="30" s="1"/>
  <c r="S312" i="30"/>
  <c r="AJ312" i="30" s="1"/>
  <c r="AN44" i="30"/>
  <c r="Q282" i="30"/>
  <c r="Q215" i="30"/>
  <c r="T154" i="30"/>
  <c r="AH119" i="30"/>
  <c r="AN309" i="30"/>
  <c r="AH207" i="30"/>
  <c r="AC330" i="30"/>
  <c r="X24" i="26"/>
  <c r="AH24" i="26" s="1"/>
  <c r="AN24" i="26" s="1"/>
  <c r="F85" i="32" s="1"/>
  <c r="S74" i="30"/>
  <c r="Q130" i="30"/>
  <c r="AO39" i="30"/>
  <c r="Q203" i="30"/>
  <c r="T110" i="30"/>
  <c r="AA330" i="30"/>
  <c r="L13" i="33"/>
  <c r="S150" i="30"/>
  <c r="AH150" i="30" s="1"/>
  <c r="AE303" i="30"/>
  <c r="AO98" i="30"/>
  <c r="AH22" i="30"/>
  <c r="AC16" i="30"/>
  <c r="W20" i="26"/>
  <c r="X20" i="26" s="1"/>
  <c r="AH193" i="30"/>
  <c r="AD268" i="30"/>
  <c r="Q294" i="30"/>
  <c r="AD24" i="30"/>
  <c r="S254" i="30"/>
  <c r="AH254" i="30" s="1"/>
  <c r="S195" i="30"/>
  <c r="AI216" i="30"/>
  <c r="AI90" i="30"/>
  <c r="AO44" i="30"/>
  <c r="S30" i="30"/>
  <c r="AH30" i="30" s="1"/>
  <c r="T30" i="30"/>
  <c r="AA210" i="30"/>
  <c r="AD124" i="30"/>
  <c r="AE124" i="30" s="1"/>
  <c r="AN214" i="30"/>
  <c r="Q219" i="30"/>
  <c r="AI295" i="30"/>
  <c r="Q311" i="30"/>
  <c r="T185" i="30"/>
  <c r="T311" i="30"/>
  <c r="Q165" i="30"/>
  <c r="S83" i="30"/>
  <c r="AH83" i="30" s="1"/>
  <c r="AI214" i="30"/>
  <c r="AE74" i="30"/>
  <c r="AQ177" i="37"/>
  <c r="AQ130" i="37"/>
  <c r="AN208" i="30"/>
  <c r="AD208" i="30"/>
  <c r="AI208" i="30"/>
  <c r="AN97" i="30"/>
  <c r="AI267" i="30"/>
  <c r="Q224" i="30"/>
  <c r="AN268" i="30"/>
  <c r="AO268" i="30" s="1"/>
  <c r="S180" i="30"/>
  <c r="AO266" i="30"/>
  <c r="S102" i="30"/>
  <c r="AH102" i="30" s="1"/>
  <c r="AD308" i="30"/>
  <c r="AE308" i="30" s="1"/>
  <c r="AN23" i="30"/>
  <c r="AN187" i="30"/>
  <c r="T326" i="30"/>
  <c r="AO326" i="30" s="1"/>
  <c r="T213" i="30"/>
  <c r="AO213" i="30" s="1"/>
  <c r="AN212" i="30"/>
  <c r="AI118" i="30"/>
  <c r="S79" i="30"/>
  <c r="T210" i="30"/>
  <c r="AH260" i="30"/>
  <c r="AI123" i="30"/>
  <c r="AN66" i="30"/>
  <c r="AC78" i="30"/>
  <c r="S170" i="30"/>
  <c r="AH170" i="30" s="1"/>
  <c r="Q170" i="30"/>
  <c r="AC294" i="30"/>
  <c r="T269" i="30"/>
  <c r="AM269" i="30" s="1"/>
  <c r="AC61" i="30"/>
  <c r="AF61" i="30" s="1"/>
  <c r="AQ61" i="30" s="1"/>
  <c r="AD334" i="30"/>
  <c r="AE334" i="30" s="1"/>
  <c r="AD184" i="30"/>
  <c r="AI218" i="30"/>
  <c r="AJ218" i="30" s="1"/>
  <c r="AN282" i="30"/>
  <c r="AI308" i="30"/>
  <c r="AI203" i="30"/>
  <c r="AJ203" i="30" s="1"/>
  <c r="AN35" i="30"/>
  <c r="AD123" i="30"/>
  <c r="AE123" i="30" s="1"/>
  <c r="I18" i="33"/>
  <c r="L18" i="33" s="1"/>
  <c r="T224" i="30"/>
  <c r="AM224" i="30" s="1"/>
  <c r="T299" i="30"/>
  <c r="Q64" i="30"/>
  <c r="AH52" i="30"/>
  <c r="AI261" i="30"/>
  <c r="AC44" i="30"/>
  <c r="E5" i="32"/>
  <c r="AI334" i="30"/>
  <c r="AI184" i="30"/>
  <c r="S334" i="30"/>
  <c r="AH334" i="30" s="1"/>
  <c r="T212" i="30"/>
  <c r="AO212" i="30" s="1"/>
  <c r="T321" i="30"/>
  <c r="AO321" i="30" s="1"/>
  <c r="Q217" i="30"/>
  <c r="AD104" i="30"/>
  <c r="T61" i="30"/>
  <c r="AM61" i="30" s="1"/>
  <c r="AN134" i="30"/>
  <c r="AO134" i="30" s="1"/>
  <c r="T270" i="30"/>
  <c r="AO270" i="30" s="1"/>
  <c r="T203" i="30"/>
  <c r="S165" i="30"/>
  <c r="AI23" i="30"/>
  <c r="T88" i="30"/>
  <c r="AM88" i="30" s="1"/>
  <c r="AN215" i="30"/>
  <c r="T102" i="30"/>
  <c r="AO102" i="30" s="1"/>
  <c r="AD261" i="30"/>
  <c r="C5" i="32"/>
  <c r="S210" i="30"/>
  <c r="AE48" i="30"/>
  <c r="AD134" i="30"/>
  <c r="AE134" i="30" s="1"/>
  <c r="F86" i="32"/>
  <c r="L21" i="33"/>
  <c r="AN109" i="30"/>
  <c r="AI109" i="30"/>
  <c r="T254" i="30"/>
  <c r="AO254" i="30" s="1"/>
  <c r="S96" i="30"/>
  <c r="AH96" i="30" s="1"/>
  <c r="S130" i="30"/>
  <c r="AH130" i="30" s="1"/>
  <c r="Q195" i="30"/>
  <c r="F37" i="36"/>
  <c r="Q89" i="30"/>
  <c r="AC74" i="30"/>
  <c r="AE35" i="30"/>
  <c r="AH208" i="30"/>
  <c r="AE294" i="30"/>
  <c r="T74" i="30"/>
  <c r="AD313" i="30"/>
  <c r="AE313" i="30" s="1"/>
  <c r="AI31" i="30"/>
  <c r="Q334" i="30"/>
  <c r="S108" i="30"/>
  <c r="AH108" i="30" s="1"/>
  <c r="T184" i="30"/>
  <c r="AO184" i="30" s="1"/>
  <c r="T277" i="30"/>
  <c r="S299" i="30"/>
  <c r="AH299" i="30" s="1"/>
  <c r="AJ321" i="30"/>
  <c r="AN29" i="30"/>
  <c r="AO29" i="30" s="1"/>
  <c r="AI282" i="30"/>
  <c r="AD56" i="30"/>
  <c r="AE56" i="30" s="1"/>
  <c r="AD29" i="30"/>
  <c r="AI186" i="30"/>
  <c r="AJ186" i="30" s="1"/>
  <c r="Q326" i="30"/>
  <c r="T256" i="30"/>
  <c r="AO256" i="30" s="1"/>
  <c r="AD282" i="30"/>
  <c r="S64" i="30"/>
  <c r="AH64" i="30" s="1"/>
  <c r="T83" i="30"/>
  <c r="T117" i="30"/>
  <c r="AI117" i="30"/>
  <c r="AE208" i="30"/>
  <c r="AD236" i="30"/>
  <c r="AE236" i="30" s="1"/>
  <c r="AI18" i="30"/>
  <c r="AD23" i="30"/>
  <c r="AI29" i="30"/>
  <c r="AJ29" i="30" s="1"/>
  <c r="AJ22" i="30"/>
  <c r="AO294" i="30"/>
  <c r="AI66" i="30"/>
  <c r="AI65" i="30"/>
  <c r="AJ65" i="30" s="1"/>
  <c r="X209" i="30"/>
  <c r="F39" i="36"/>
  <c r="F23" i="36"/>
  <c r="F21" i="36"/>
  <c r="I21" i="36" s="1"/>
  <c r="F19" i="36"/>
  <c r="Y334" i="30"/>
  <c r="AB24" i="26"/>
  <c r="Q223" i="30"/>
  <c r="Q261" i="30"/>
  <c r="AE103" i="30"/>
  <c r="Q119" i="30"/>
  <c r="S122" i="30"/>
  <c r="AH122" i="30" s="1"/>
  <c r="AD161" i="30"/>
  <c r="T281" i="30"/>
  <c r="AM281" i="30" s="1"/>
  <c r="Q262" i="30"/>
  <c r="AI161" i="30"/>
  <c r="Q117" i="30"/>
  <c r="AE175" i="30"/>
  <c r="Q88" i="30"/>
  <c r="AC334" i="30"/>
  <c r="AC236" i="30"/>
  <c r="AC260" i="30"/>
  <c r="AD156" i="30"/>
  <c r="W11" i="26"/>
  <c r="I15" i="33"/>
  <c r="L15" i="33" s="1"/>
  <c r="X213" i="30"/>
  <c r="Y213" i="30" s="1"/>
  <c r="AA102" i="30"/>
  <c r="AA286" i="30"/>
  <c r="X122" i="30"/>
  <c r="AA334" i="30"/>
  <c r="AA260" i="30"/>
  <c r="Y11" i="26"/>
  <c r="Z11" i="26" s="1"/>
  <c r="M11" i="26"/>
  <c r="O11" i="26"/>
  <c r="AD11" i="26" s="1"/>
  <c r="L14" i="33"/>
  <c r="AI294" i="30"/>
  <c r="AJ294" i="30" s="1"/>
  <c r="AJ307" i="30"/>
  <c r="S281" i="30"/>
  <c r="AH281" i="30" s="1"/>
  <c r="AD154" i="30"/>
  <c r="AE154" i="30" s="1"/>
  <c r="Q317" i="30"/>
  <c r="S125" i="30"/>
  <c r="AD52" i="30"/>
  <c r="AE52" i="30" s="1"/>
  <c r="S270" i="30"/>
  <c r="AI104" i="30"/>
  <c r="AI24" i="30"/>
  <c r="AE321" i="30"/>
  <c r="AF321" i="30" s="1"/>
  <c r="AK321" i="30" s="1"/>
  <c r="AP321" i="30" s="1"/>
  <c r="AS321" i="30" s="1"/>
  <c r="T96" i="30"/>
  <c r="AN30" i="30"/>
  <c r="AO30" i="30" s="1"/>
  <c r="AI30" i="30"/>
  <c r="S310" i="30"/>
  <c r="AH310" i="30" s="1"/>
  <c r="Q310" i="30"/>
  <c r="T307" i="30"/>
  <c r="AM307" i="30" s="1"/>
  <c r="Q307" i="30"/>
  <c r="AJ281" i="30"/>
  <c r="T103" i="30"/>
  <c r="Q103" i="30"/>
  <c r="Q256" i="30"/>
  <c r="T119" i="30"/>
  <c r="AM119" i="30" s="1"/>
  <c r="AI212" i="30"/>
  <c r="AA207" i="30"/>
  <c r="AE207" i="30"/>
  <c r="X146" i="30"/>
  <c r="Y146" i="30" s="1"/>
  <c r="AD146" i="30"/>
  <c r="AE146" i="30" s="1"/>
  <c r="AA161" i="30"/>
  <c r="AA56" i="30"/>
  <c r="AC29" i="30"/>
  <c r="AD22" i="30"/>
  <c r="X22" i="30"/>
  <c r="Y22" i="30" s="1"/>
  <c r="AN22" i="30"/>
  <c r="Q97" i="30"/>
  <c r="T97" i="30"/>
  <c r="T116" i="30"/>
  <c r="AM116" i="30" s="1"/>
  <c r="S116" i="30"/>
  <c r="AJ116" i="30" s="1"/>
  <c r="T255" i="30"/>
  <c r="AM255" i="30" s="1"/>
  <c r="Q255" i="30"/>
  <c r="AJ208" i="30"/>
  <c r="AI209" i="30"/>
  <c r="Q138" i="30"/>
  <c r="AN154" i="30"/>
  <c r="AO154" i="30" s="1"/>
  <c r="T57" i="30"/>
  <c r="S57" i="30"/>
  <c r="AJ57" i="30" s="1"/>
  <c r="T260" i="30"/>
  <c r="AO260" i="30" s="1"/>
  <c r="Q260" i="30"/>
  <c r="T125" i="30"/>
  <c r="Q35" i="30"/>
  <c r="T35" i="30"/>
  <c r="AM35" i="30" s="1"/>
  <c r="T121" i="30"/>
  <c r="AM121" i="30" s="1"/>
  <c r="S121" i="30"/>
  <c r="AH121" i="30" s="1"/>
  <c r="X57" i="30"/>
  <c r="AN57" i="30"/>
  <c r="AO57" i="30" s="1"/>
  <c r="H9" i="36"/>
  <c r="AH203" i="30"/>
  <c r="AD125" i="30"/>
  <c r="AN125" i="30"/>
  <c r="AO125" i="30" s="1"/>
  <c r="AA321" i="30"/>
  <c r="AA266" i="30"/>
  <c r="T188" i="30"/>
  <c r="S188" i="30"/>
  <c r="X170" i="30"/>
  <c r="Y170" i="30" s="1"/>
  <c r="AN170" i="30"/>
  <c r="AO170" i="30" s="1"/>
  <c r="AI170" i="30"/>
  <c r="T40" i="30"/>
  <c r="AM40" i="30" s="1"/>
  <c r="AI185" i="30"/>
  <c r="AD209" i="30"/>
  <c r="AE209" i="30" s="1"/>
  <c r="T78" i="30"/>
  <c r="AM78" i="30" s="1"/>
  <c r="T95" i="30"/>
  <c r="AM95" i="30" s="1"/>
  <c r="T317" i="30"/>
  <c r="AM317" i="30" s="1"/>
  <c r="Q188" i="30"/>
  <c r="AN52" i="30"/>
  <c r="S97" i="30"/>
  <c r="AJ97" i="30" s="1"/>
  <c r="AJ260" i="30"/>
  <c r="Q40" i="30"/>
  <c r="AN209" i="30"/>
  <c r="T138" i="30"/>
  <c r="AM138" i="30" s="1"/>
  <c r="Q95" i="30"/>
  <c r="Q150" i="30"/>
  <c r="T79" i="30"/>
  <c r="AM79" i="30" s="1"/>
  <c r="T194" i="30"/>
  <c r="Q330" i="30"/>
  <c r="Q169" i="30"/>
  <c r="S184" i="30"/>
  <c r="AJ184" i="30" s="1"/>
  <c r="S213" i="30"/>
  <c r="S255" i="30"/>
  <c r="AH255" i="30" s="1"/>
  <c r="I23" i="36"/>
  <c r="H11" i="36"/>
  <c r="AE277" i="30"/>
  <c r="X179" i="30"/>
  <c r="Y179" i="30" s="1"/>
  <c r="AI179" i="30"/>
  <c r="AJ179" i="30" s="1"/>
  <c r="AC228" i="30"/>
  <c r="AM44" i="30"/>
  <c r="AH154" i="30"/>
  <c r="E87" i="32"/>
  <c r="AJ129" i="30"/>
  <c r="AJ90" i="30"/>
  <c r="AO31" i="30"/>
  <c r="AM294" i="30"/>
  <c r="AC208" i="30"/>
  <c r="AC207" i="30"/>
  <c r="AM193" i="30"/>
  <c r="AN122" i="30"/>
  <c r="AO122" i="30" s="1"/>
  <c r="AC241" i="30"/>
  <c r="AC142" i="30"/>
  <c r="AA48" i="30"/>
  <c r="AA236" i="30"/>
  <c r="AC154" i="30"/>
  <c r="AC254" i="30"/>
  <c r="Z20" i="26"/>
  <c r="AF11" i="26"/>
  <c r="N11" i="26"/>
  <c r="V11" i="26" s="1"/>
  <c r="G87" i="32"/>
  <c r="AA277" i="30"/>
  <c r="AA223" i="30"/>
  <c r="AA39" i="30"/>
  <c r="AA307" i="30"/>
  <c r="AA199" i="30"/>
  <c r="AA35" i="30"/>
  <c r="AA83" i="30"/>
  <c r="AA88" i="30"/>
  <c r="AA74" i="30"/>
  <c r="AA245" i="30"/>
  <c r="AA108" i="30"/>
  <c r="AH70" i="30"/>
  <c r="X326" i="30"/>
  <c r="Y326" i="30" s="1"/>
  <c r="AI309" i="30"/>
  <c r="AA317" i="30"/>
  <c r="AH294" i="30"/>
  <c r="AA203" i="30"/>
  <c r="AA241" i="30"/>
  <c r="AA142" i="30"/>
  <c r="AN18" i="30"/>
  <c r="AH56" i="30"/>
  <c r="AC134" i="30"/>
  <c r="AN269" i="30"/>
  <c r="AO269" i="30" s="1"/>
  <c r="AC62" i="30"/>
  <c r="G86" i="32"/>
  <c r="I20" i="33"/>
  <c r="L20" i="33" s="1"/>
  <c r="I10" i="33"/>
  <c r="L10" i="33" s="1"/>
  <c r="AC199" i="30"/>
  <c r="AC35" i="30"/>
  <c r="AC83" i="30"/>
  <c r="AC129" i="30"/>
  <c r="AC290" i="30"/>
  <c r="X66" i="30"/>
  <c r="Y66" i="30" s="1"/>
  <c r="AC193" i="30"/>
  <c r="AM203" i="30"/>
  <c r="AM179" i="30"/>
  <c r="AC52" i="30"/>
  <c r="AA16" i="30"/>
  <c r="AA134" i="30"/>
  <c r="AA184" i="30"/>
  <c r="AA62" i="30"/>
  <c r="L11" i="33"/>
  <c r="AA70" i="30"/>
  <c r="L19" i="33"/>
  <c r="L12" i="33"/>
  <c r="AA61" i="30"/>
  <c r="AM277" i="30"/>
  <c r="AM74" i="30"/>
  <c r="AM326" i="30"/>
  <c r="AM94" i="30"/>
  <c r="AQ18" i="37"/>
  <c r="AQ17" i="37"/>
  <c r="AN227" i="37"/>
  <c r="AU227" i="37" s="1"/>
  <c r="BC227" i="37"/>
  <c r="AT221" i="37"/>
  <c r="AN221" i="37"/>
  <c r="BB221" i="37" s="1"/>
  <c r="BE220" i="37" s="1"/>
  <c r="AI17" i="37"/>
  <c r="AJ17" i="37" s="1"/>
  <c r="AH56" i="37"/>
  <c r="V73" i="37"/>
  <c r="AI16" i="37"/>
  <c r="AJ16" i="37" s="1"/>
  <c r="W60" i="37"/>
  <c r="AQ56" i="37"/>
  <c r="AI56" i="37"/>
  <c r="AJ56" i="37" s="1"/>
  <c r="AI25" i="37"/>
  <c r="AJ25" i="37" s="1"/>
  <c r="AQ16" i="37"/>
  <c r="AQ74" i="37"/>
  <c r="AR74" i="37" s="1"/>
  <c r="AQ50" i="37"/>
  <c r="P88" i="37"/>
  <c r="AI186" i="37"/>
  <c r="AX112" i="37"/>
  <c r="AY112" i="37" s="1"/>
  <c r="W73" i="37"/>
  <c r="AD59" i="37"/>
  <c r="AQ123" i="37"/>
  <c r="AI123" i="37"/>
  <c r="AJ123" i="37" s="1"/>
  <c r="AX176" i="37"/>
  <c r="W191" i="37"/>
  <c r="V191" i="37"/>
  <c r="AX39" i="37"/>
  <c r="AX43" i="37"/>
  <c r="AI172" i="37"/>
  <c r="AK99" i="37"/>
  <c r="AI185" i="37"/>
  <c r="AJ185" i="37" s="1"/>
  <c r="AI107" i="37"/>
  <c r="AQ104" i="37"/>
  <c r="AX130" i="37"/>
  <c r="AY130" i="37" s="1"/>
  <c r="AI145" i="37"/>
  <c r="AJ145" i="37" s="1"/>
  <c r="AI127" i="37"/>
  <c r="AJ127" i="37" s="1"/>
  <c r="AX185" i="37"/>
  <c r="AQ145" i="37"/>
  <c r="AR145" i="37" s="1"/>
  <c r="AQ127" i="37"/>
  <c r="AX19" i="37"/>
  <c r="Z85" i="37"/>
  <c r="AA85" i="37" s="1"/>
  <c r="AQ85" i="37" s="1"/>
  <c r="AX18" i="37"/>
  <c r="AX49" i="37"/>
  <c r="AI97" i="37"/>
  <c r="AJ97" i="37" s="1"/>
  <c r="AK105" i="37"/>
  <c r="AA88" i="37"/>
  <c r="AQ88" i="37" s="1"/>
  <c r="AI80" i="37"/>
  <c r="AJ80" i="37" s="1"/>
  <c r="AI50" i="37"/>
  <c r="AJ50" i="37" s="1"/>
  <c r="AI104" i="37"/>
  <c r="AJ104" i="37" s="1"/>
  <c r="AI19" i="37"/>
  <c r="AQ25" i="37"/>
  <c r="O108" i="37"/>
  <c r="U60" i="37"/>
  <c r="AX44" i="37"/>
  <c r="AQ43" i="37"/>
  <c r="AR43" i="37" s="1"/>
  <c r="AK187" i="37"/>
  <c r="U147" i="37"/>
  <c r="V147" i="37"/>
  <c r="P107" i="37"/>
  <c r="T107" i="37" s="1"/>
  <c r="AD159" i="37"/>
  <c r="AX204" i="37"/>
  <c r="P86" i="37"/>
  <c r="T86" i="37" s="1"/>
  <c r="AD86" i="37" s="1"/>
  <c r="AX28" i="37"/>
  <c r="AI58" i="37"/>
  <c r="AJ58" i="37" s="1"/>
  <c r="AQ114" i="37"/>
  <c r="AI49" i="37"/>
  <c r="AJ49" i="37" s="1"/>
  <c r="AX207" i="37"/>
  <c r="AQ42" i="37"/>
  <c r="AI153" i="37"/>
  <c r="O172" i="37"/>
  <c r="AQ186" i="37"/>
  <c r="AI32" i="37"/>
  <c r="AJ32" i="37" s="1"/>
  <c r="AQ204" i="37"/>
  <c r="AX97" i="37"/>
  <c r="U90" i="37"/>
  <c r="AQ80" i="37"/>
  <c r="AR80" i="37" s="1"/>
  <c r="AQ39" i="37"/>
  <c r="W35" i="37"/>
  <c r="V93" i="37"/>
  <c r="U93" i="37"/>
  <c r="AQ86" i="37"/>
  <c r="AX86" i="37"/>
  <c r="U53" i="37"/>
  <c r="AP53" i="37" s="1"/>
  <c r="AH53" i="37"/>
  <c r="U24" i="37"/>
  <c r="V24" i="37"/>
  <c r="AD134" i="37"/>
  <c r="V111" i="37"/>
  <c r="AX201" i="37"/>
  <c r="AY201" i="37" s="1"/>
  <c r="AQ22" i="37"/>
  <c r="W111" i="37"/>
  <c r="AI148" i="37"/>
  <c r="AJ148" i="37" s="1"/>
  <c r="AX33" i="37"/>
  <c r="AX117" i="37"/>
  <c r="AQ171" i="37"/>
  <c r="AI33" i="37"/>
  <c r="AJ33" i="37" s="1"/>
  <c r="AQ77" i="37"/>
  <c r="AR77" i="37" s="1"/>
  <c r="AQ47" i="37"/>
  <c r="AI136" i="37"/>
  <c r="AJ136" i="37" s="1"/>
  <c r="O84" i="37"/>
  <c r="AI57" i="37"/>
  <c r="AJ57" i="37" s="1"/>
  <c r="AI162" i="37"/>
  <c r="AJ162" i="37" s="1"/>
  <c r="W100" i="37"/>
  <c r="V100" i="37"/>
  <c r="AI201" i="37"/>
  <c r="AJ201" i="37" s="1"/>
  <c r="AI47" i="37"/>
  <c r="AJ47" i="37" s="1"/>
  <c r="AX32" i="37"/>
  <c r="T144" i="37"/>
  <c r="U144" i="37" s="1"/>
  <c r="W93" i="37"/>
  <c r="P87" i="37"/>
  <c r="T87" i="37" s="1"/>
  <c r="AF87" i="37" s="1"/>
  <c r="AI28" i="37"/>
  <c r="AJ28" i="37" s="1"/>
  <c r="AQ58" i="37"/>
  <c r="AD115" i="37"/>
  <c r="AD23" i="37"/>
  <c r="AI94" i="37"/>
  <c r="AJ94" i="37" s="1"/>
  <c r="AX77" i="37"/>
  <c r="AX162" i="37"/>
  <c r="AY162" i="37" s="1"/>
  <c r="W160" i="37"/>
  <c r="T141" i="37"/>
  <c r="V141" i="37" s="1"/>
  <c r="AX114" i="37"/>
  <c r="AT231" i="37"/>
  <c r="AU231" i="37" s="1"/>
  <c r="AK215" i="37"/>
  <c r="AL213" i="37" s="1"/>
  <c r="AM213" i="37" s="1"/>
  <c r="BC213" i="37" s="1"/>
  <c r="AW215" i="37"/>
  <c r="AY215" i="37"/>
  <c r="AR215" i="37"/>
  <c r="AP215" i="37"/>
  <c r="U135" i="37"/>
  <c r="V135" i="37"/>
  <c r="W135" i="37"/>
  <c r="W126" i="37"/>
  <c r="U55" i="37"/>
  <c r="V55" i="37"/>
  <c r="W138" i="37"/>
  <c r="U138" i="37"/>
  <c r="AX87" i="37"/>
  <c r="AI87" i="37"/>
  <c r="AQ87" i="37"/>
  <c r="V79" i="37"/>
  <c r="U79" i="37"/>
  <c r="U151" i="37"/>
  <c r="V151" i="37"/>
  <c r="U114" i="37"/>
  <c r="AJ114" i="37"/>
  <c r="V114" i="37"/>
  <c r="V38" i="37"/>
  <c r="U38" i="37"/>
  <c r="W52" i="37"/>
  <c r="AQ136" i="37"/>
  <c r="W79" i="37"/>
  <c r="AI202" i="37"/>
  <c r="AJ202" i="37" s="1"/>
  <c r="AQ94" i="37"/>
  <c r="AR94" i="37" s="1"/>
  <c r="AJ81" i="37"/>
  <c r="AD179" i="37"/>
  <c r="AK38" i="37"/>
  <c r="AD21" i="37"/>
  <c r="W90" i="37"/>
  <c r="U30" i="37"/>
  <c r="W114" i="37"/>
  <c r="BC114" i="37" s="1"/>
  <c r="AX53" i="37"/>
  <c r="AQ112" i="37"/>
  <c r="AI42" i="37"/>
  <c r="AJ42" i="37" s="1"/>
  <c r="AI22" i="37"/>
  <c r="AJ22" i="37" s="1"/>
  <c r="AQ148" i="37"/>
  <c r="AX57" i="37"/>
  <c r="AI74" i="37"/>
  <c r="AJ74" i="37" s="1"/>
  <c r="AX109" i="37"/>
  <c r="AH74" i="37"/>
  <c r="AJ39" i="37"/>
  <c r="AK37" i="37"/>
  <c r="W38" i="37"/>
  <c r="V52" i="37"/>
  <c r="AI122" i="37"/>
  <c r="AJ122" i="37" s="1"/>
  <c r="W30" i="37"/>
  <c r="AQ120" i="37"/>
  <c r="U61" i="37"/>
  <c r="AP61" i="37" s="1"/>
  <c r="AI44" i="37"/>
  <c r="AJ44" i="37" s="1"/>
  <c r="AI120" i="37"/>
  <c r="AJ120" i="37" s="1"/>
  <c r="AQ109" i="37"/>
  <c r="AX172" i="37"/>
  <c r="AQ180" i="37"/>
  <c r="V179" i="37"/>
  <c r="AX122" i="37"/>
  <c r="AF114" i="37"/>
  <c r="AH80" i="37"/>
  <c r="AF61" i="37"/>
  <c r="AQ53" i="37"/>
  <c r="AH47" i="37"/>
  <c r="AD102" i="37"/>
  <c r="AL238" i="37"/>
  <c r="AM238" i="37" s="1"/>
  <c r="AS238" i="37"/>
  <c r="AI154" i="37"/>
  <c r="W147" i="37"/>
  <c r="AI180" i="37"/>
  <c r="AJ180" i="37" s="1"/>
  <c r="AQ169" i="37"/>
  <c r="AI177" i="37"/>
  <c r="AJ177" i="37" s="1"/>
  <c r="AI196" i="37"/>
  <c r="AJ196" i="37" s="1"/>
  <c r="AD147" i="37"/>
  <c r="V160" i="37"/>
  <c r="W179" i="37"/>
  <c r="AQ167" i="37"/>
  <c r="AR167" i="37" s="1"/>
  <c r="AQ176" i="37"/>
  <c r="AR176" i="37" s="1"/>
  <c r="AX196" i="37"/>
  <c r="W156" i="37"/>
  <c r="W151" i="37"/>
  <c r="V175" i="37"/>
  <c r="U175" i="37"/>
  <c r="AQ161" i="37"/>
  <c r="W200" i="37"/>
  <c r="AQ153" i="37"/>
  <c r="W175" i="37"/>
  <c r="AQ202" i="37"/>
  <c r="AI149" i="37"/>
  <c r="AQ207" i="37"/>
  <c r="AK163" i="37"/>
  <c r="AK155" i="37"/>
  <c r="AI161" i="37"/>
  <c r="AJ161" i="37" s="1"/>
  <c r="U152" i="37"/>
  <c r="AP152" i="37" s="1"/>
  <c r="W206" i="37"/>
  <c r="AK151" i="37"/>
  <c r="AK195" i="37"/>
  <c r="AD175" i="37"/>
  <c r="AI167" i="37"/>
  <c r="AJ167" i="37" s="1"/>
  <c r="V206" i="37"/>
  <c r="AI173" i="37"/>
  <c r="AQ173" i="37"/>
  <c r="AQ149" i="37"/>
  <c r="AD191" i="37"/>
  <c r="W198" i="37"/>
  <c r="U198" i="37"/>
  <c r="V198" i="37"/>
  <c r="U199" i="37"/>
  <c r="V199" i="37"/>
  <c r="V116" i="37"/>
  <c r="U116" i="37"/>
  <c r="AD131" i="37"/>
  <c r="AI117" i="37"/>
  <c r="AJ117" i="37" s="1"/>
  <c r="AK79" i="37"/>
  <c r="AX169" i="37"/>
  <c r="AX121" i="37"/>
  <c r="W199" i="37"/>
  <c r="AF176" i="37"/>
  <c r="AQ121" i="37"/>
  <c r="AD111" i="37"/>
  <c r="AD27" i="37"/>
  <c r="AD55" i="37"/>
  <c r="AD30" i="37"/>
  <c r="AK174" i="37"/>
  <c r="AJ77" i="37"/>
  <c r="AX171" i="37"/>
  <c r="W116" i="37"/>
  <c r="AX118" i="37"/>
  <c r="AI118" i="37"/>
  <c r="AJ118" i="37" s="1"/>
  <c r="AH104" i="37"/>
  <c r="AF77" i="37"/>
  <c r="AK82" i="37"/>
  <c r="AD126" i="37"/>
  <c r="AD75" i="37"/>
  <c r="AM334" i="30"/>
  <c r="AM188" i="30"/>
  <c r="AM211" i="30"/>
  <c r="AH179" i="30"/>
  <c r="AA78" i="30"/>
  <c r="AC161" i="30"/>
  <c r="AH114" i="37"/>
  <c r="AH277" i="30"/>
  <c r="AF180" i="37"/>
  <c r="AM165" i="30"/>
  <c r="AH116" i="30"/>
  <c r="AH129" i="30"/>
  <c r="AM154" i="30"/>
  <c r="AC30" i="30"/>
  <c r="AH171" i="37"/>
  <c r="AH25" i="37"/>
  <c r="AC124" i="30"/>
  <c r="AH202" i="37"/>
  <c r="AH139" i="37"/>
  <c r="AM39" i="30"/>
  <c r="AP145" i="37"/>
  <c r="AH44" i="30"/>
  <c r="AH317" i="30"/>
  <c r="AM215" i="30"/>
  <c r="AH29" i="30"/>
  <c r="AM308" i="30"/>
  <c r="AH256" i="30"/>
  <c r="AM122" i="30"/>
  <c r="AH241" i="30"/>
  <c r="AC70" i="30"/>
  <c r="AH32" i="37"/>
  <c r="AG20" i="26"/>
  <c r="AI20" i="26" s="1"/>
  <c r="AM310" i="30"/>
  <c r="AM22" i="30"/>
  <c r="AM134" i="30"/>
  <c r="AM103" i="30"/>
  <c r="AM65" i="30"/>
  <c r="AM210" i="30"/>
  <c r="AM330" i="30"/>
  <c r="AC203" i="30"/>
  <c r="AM321" i="30"/>
  <c r="AM29" i="30"/>
  <c r="AM108" i="30"/>
  <c r="AM83" i="30"/>
  <c r="AM282" i="30"/>
  <c r="AC108" i="30"/>
  <c r="AC245" i="30"/>
  <c r="AC326" i="30"/>
  <c r="AC123" i="30"/>
  <c r="AW203" i="37"/>
  <c r="AH57" i="37"/>
  <c r="AH42" i="37"/>
  <c r="AH210" i="30"/>
  <c r="AC122" i="30"/>
  <c r="AA65" i="30"/>
  <c r="AA17" i="30"/>
  <c r="AA268" i="30"/>
  <c r="AP185" i="37"/>
  <c r="AH123" i="37"/>
  <c r="AA122" i="30"/>
  <c r="AA94" i="30"/>
  <c r="AA40" i="30"/>
  <c r="AA281" i="30"/>
  <c r="AF204" i="37"/>
  <c r="AF181" i="37"/>
  <c r="AF177" i="37"/>
  <c r="AF36" i="37"/>
  <c r="U181" i="37"/>
  <c r="AA169" i="30"/>
  <c r="AE312" i="30"/>
  <c r="AA313" i="30"/>
  <c r="AH181" i="37"/>
  <c r="AA308" i="30"/>
  <c r="AA290" i="30"/>
  <c r="AA224" i="30"/>
  <c r="AA303" i="30"/>
  <c r="AF44" i="37"/>
  <c r="AA89" i="30"/>
  <c r="AA272" i="30"/>
  <c r="U44" i="37"/>
  <c r="AA64" i="30"/>
  <c r="V43" i="37"/>
  <c r="V181" i="37"/>
  <c r="AW181" i="37" s="1"/>
  <c r="AF104" i="37"/>
  <c r="AC313" i="30"/>
  <c r="AA311" i="30"/>
  <c r="AA322" i="30"/>
  <c r="AA228" i="30"/>
  <c r="AA57" i="30"/>
  <c r="AF207" i="37"/>
  <c r="AA129" i="30"/>
  <c r="AN130" i="30"/>
  <c r="AO130" i="30" s="1"/>
  <c r="X130" i="30"/>
  <c r="Y130" i="30" s="1"/>
  <c r="AD130" i="30"/>
  <c r="AE130" i="30" s="1"/>
  <c r="AI130" i="30"/>
  <c r="AM189" i="30"/>
  <c r="AD317" i="30"/>
  <c r="AE317" i="30" s="1"/>
  <c r="AI317" i="30"/>
  <c r="AJ317" i="30" s="1"/>
  <c r="AN317" i="30"/>
  <c r="AO317" i="30" s="1"/>
  <c r="X317" i="30"/>
  <c r="Y317" i="30" s="1"/>
  <c r="Q63" i="30"/>
  <c r="S63" i="30"/>
  <c r="AJ63" i="30" s="1"/>
  <c r="AC209" i="30"/>
  <c r="X199" i="30"/>
  <c r="Y199" i="30" s="1"/>
  <c r="AI199" i="30"/>
  <c r="AJ199" i="30" s="1"/>
  <c r="T309" i="30"/>
  <c r="AM309" i="30" s="1"/>
  <c r="Q309" i="30"/>
  <c r="S309" i="30"/>
  <c r="AH309" i="30" s="1"/>
  <c r="Q90" i="30"/>
  <c r="T90" i="30"/>
  <c r="AO90" i="30" s="1"/>
  <c r="S124" i="30"/>
  <c r="AH124" i="30" s="1"/>
  <c r="T124" i="30"/>
  <c r="AM124" i="30" s="1"/>
  <c r="Q175" i="30"/>
  <c r="T175" i="30"/>
  <c r="AM175" i="30" s="1"/>
  <c r="AD310" i="30"/>
  <c r="AE310" i="30" s="1"/>
  <c r="AN310" i="30"/>
  <c r="AO310" i="30" s="1"/>
  <c r="X298" i="30"/>
  <c r="AN298" i="30"/>
  <c r="AD298" i="30"/>
  <c r="X296" i="30"/>
  <c r="AI296" i="30"/>
  <c r="X193" i="30"/>
  <c r="Y193" i="30" s="1"/>
  <c r="AI193" i="30"/>
  <c r="AJ193" i="30" s="1"/>
  <c r="AN193" i="30"/>
  <c r="AO193" i="30" s="1"/>
  <c r="X142" i="30"/>
  <c r="Y142" i="30" s="1"/>
  <c r="AN142" i="30"/>
  <c r="AD142" i="30"/>
  <c r="AE142" i="30" s="1"/>
  <c r="AH228" i="30"/>
  <c r="X249" i="30"/>
  <c r="Y249" i="30" s="1"/>
  <c r="AN249" i="30"/>
  <c r="AD249" i="30"/>
  <c r="X112" i="30"/>
  <c r="Y112" i="30" s="1"/>
  <c r="AI112" i="30"/>
  <c r="AJ112" i="30" s="1"/>
  <c r="AN112" i="30"/>
  <c r="X281" i="30"/>
  <c r="Y281" i="30" s="1"/>
  <c r="AE57" i="30"/>
  <c r="AJ334" i="30"/>
  <c r="AJ228" i="30"/>
  <c r="AD96" i="30"/>
  <c r="AE96" i="30" s="1"/>
  <c r="AE184" i="30"/>
  <c r="AE108" i="30"/>
  <c r="AJ210" i="30"/>
  <c r="Q228" i="30"/>
  <c r="AN250" i="30"/>
  <c r="S31" i="30"/>
  <c r="AH31" i="30" s="1"/>
  <c r="AA326" i="30"/>
  <c r="S78" i="30"/>
  <c r="AO103" i="30"/>
  <c r="AE326" i="30"/>
  <c r="Q194" i="30"/>
  <c r="T295" i="30"/>
  <c r="AM295" i="30" s="1"/>
  <c r="AM254" i="30"/>
  <c r="AI219" i="30"/>
  <c r="AJ219" i="30" s="1"/>
  <c r="AC303" i="30"/>
  <c r="AD109" i="30"/>
  <c r="AM260" i="30"/>
  <c r="AN277" i="30"/>
  <c r="AO277" i="30" s="1"/>
  <c r="AI35" i="30"/>
  <c r="AJ35" i="30" s="1"/>
  <c r="AN296" i="30"/>
  <c r="T70" i="30"/>
  <c r="AI298" i="30"/>
  <c r="AH117" i="30"/>
  <c r="T63" i="30"/>
  <c r="AM63" i="30" s="1"/>
  <c r="AD281" i="30"/>
  <c r="AE281" i="30" s="1"/>
  <c r="AI254" i="30"/>
  <c r="AJ254" i="30" s="1"/>
  <c r="X299" i="30"/>
  <c r="Y299" i="30" s="1"/>
  <c r="AN299" i="30"/>
  <c r="AM125" i="30"/>
  <c r="AH199" i="30"/>
  <c r="AI273" i="30"/>
  <c r="AN273" i="30"/>
  <c r="T290" i="30"/>
  <c r="AM290" i="30" s="1"/>
  <c r="S290" i="30"/>
  <c r="AD254" i="30"/>
  <c r="AE254" i="30" s="1"/>
  <c r="AC266" i="30"/>
  <c r="T286" i="30"/>
  <c r="S286" i="30"/>
  <c r="Q286" i="30"/>
  <c r="AC165" i="30"/>
  <c r="AA150" i="30"/>
  <c r="AC150" i="30"/>
  <c r="AA29" i="30"/>
  <c r="AE29" i="30"/>
  <c r="X39" i="30"/>
  <c r="Y39" i="30" s="1"/>
  <c r="AD39" i="30"/>
  <c r="AE39" i="30" s="1"/>
  <c r="AI39" i="30"/>
  <c r="AJ39" i="30" s="1"/>
  <c r="X297" i="30"/>
  <c r="AN297" i="30"/>
  <c r="X215" i="30"/>
  <c r="Y215" i="30" s="1"/>
  <c r="AD215" i="30"/>
  <c r="X48" i="30"/>
  <c r="Y48" i="30" s="1"/>
  <c r="AI48" i="30"/>
  <c r="X44" i="30"/>
  <c r="Y44" i="30" s="1"/>
  <c r="AI44" i="30"/>
  <c r="AJ44" i="30" s="1"/>
  <c r="X322" i="30"/>
  <c r="Y322" i="30" s="1"/>
  <c r="AI322" i="30"/>
  <c r="AD322" i="30"/>
  <c r="AE322" i="30" s="1"/>
  <c r="AC281" i="30"/>
  <c r="X189" i="30"/>
  <c r="Y189" i="30" s="1"/>
  <c r="AD189" i="30"/>
  <c r="AE189" i="30" s="1"/>
  <c r="AN189" i="30"/>
  <c r="AO189" i="30" s="1"/>
  <c r="T187" i="30"/>
  <c r="AO187" i="30" s="1"/>
  <c r="S187" i="30"/>
  <c r="AH187" i="30" s="1"/>
  <c r="X256" i="30"/>
  <c r="Y256" i="30" s="1"/>
  <c r="AI256" i="30"/>
  <c r="AJ256" i="30" s="1"/>
  <c r="AD330" i="30"/>
  <c r="AE330" i="30" s="1"/>
  <c r="AN330" i="30"/>
  <c r="AO330" i="30" s="1"/>
  <c r="S62" i="30"/>
  <c r="T62" i="30"/>
  <c r="Q62" i="30"/>
  <c r="X150" i="30"/>
  <c r="Y150" i="30" s="1"/>
  <c r="AI150" i="30"/>
  <c r="AJ150" i="30" s="1"/>
  <c r="X74" i="30"/>
  <c r="Y74" i="30" s="1"/>
  <c r="AF74" i="30" s="1"/>
  <c r="AI74" i="30"/>
  <c r="AJ74" i="30" s="1"/>
  <c r="X88" i="30"/>
  <c r="Y88" i="30" s="1"/>
  <c r="AD88" i="30"/>
  <c r="AE88" i="30" s="1"/>
  <c r="X25" i="30"/>
  <c r="Y25" i="30" s="1"/>
  <c r="AN25" i="30"/>
  <c r="X194" i="30"/>
  <c r="AN194" i="30"/>
  <c r="AO194" i="30" s="1"/>
  <c r="AD194" i="30"/>
  <c r="AE194" i="30" s="1"/>
  <c r="X169" i="30"/>
  <c r="Y169" i="30" s="1"/>
  <c r="X250" i="30"/>
  <c r="Y250" i="30" s="1"/>
  <c r="X269" i="30"/>
  <c r="Y269" i="30" s="1"/>
  <c r="AO282" i="30"/>
  <c r="AD256" i="30"/>
  <c r="AE256" i="30" s="1"/>
  <c r="T142" i="30"/>
  <c r="AO214" i="30"/>
  <c r="AD97" i="30"/>
  <c r="AE97" i="30" s="1"/>
  <c r="AO210" i="30"/>
  <c r="T228" i="30"/>
  <c r="Q322" i="30"/>
  <c r="AN61" i="30"/>
  <c r="AO61" i="30" s="1"/>
  <c r="AD112" i="30"/>
  <c r="AE112" i="30" s="1"/>
  <c r="AA165" i="30"/>
  <c r="AE94" i="30"/>
  <c r="AD193" i="30"/>
  <c r="AE193" i="30" s="1"/>
  <c r="AN104" i="30"/>
  <c r="AD171" i="30"/>
  <c r="AE171" i="30" s="1"/>
  <c r="Q122" i="30"/>
  <c r="Q267" i="30"/>
  <c r="AD79" i="30"/>
  <c r="AE79" i="30" s="1"/>
  <c r="AA209" i="30"/>
  <c r="AE203" i="30"/>
  <c r="AI286" i="30"/>
  <c r="S330" i="30"/>
  <c r="AI154" i="30"/>
  <c r="AJ154" i="30" s="1"/>
  <c r="AD271" i="30"/>
  <c r="AN169" i="30"/>
  <c r="AO169" i="30" s="1"/>
  <c r="AD296" i="30"/>
  <c r="S266" i="30"/>
  <c r="Q70" i="30"/>
  <c r="S212" i="30"/>
  <c r="AJ212" i="30" s="1"/>
  <c r="AN74" i="30"/>
  <c r="AO74" i="30" s="1"/>
  <c r="AD188" i="30"/>
  <c r="AE188" i="30" s="1"/>
  <c r="AN179" i="30"/>
  <c r="AO179" i="30" s="1"/>
  <c r="AD299" i="30"/>
  <c r="AE299" i="30" s="1"/>
  <c r="AA249" i="30"/>
  <c r="AC249" i="30"/>
  <c r="AE249" i="30"/>
  <c r="AH61" i="30"/>
  <c r="AJ61" i="30"/>
  <c r="T84" i="30"/>
  <c r="S84" i="30"/>
  <c r="AH84" i="30" s="1"/>
  <c r="S322" i="30"/>
  <c r="AC271" i="30"/>
  <c r="AD179" i="30"/>
  <c r="AE179" i="30" s="1"/>
  <c r="AI25" i="30"/>
  <c r="S142" i="30"/>
  <c r="AH142" i="30" s="1"/>
  <c r="AD169" i="30"/>
  <c r="AE169" i="30" s="1"/>
  <c r="AI313" i="30"/>
  <c r="AN313" i="30"/>
  <c r="X119" i="30"/>
  <c r="AN119" i="30"/>
  <c r="AM130" i="30"/>
  <c r="X186" i="30"/>
  <c r="Y186" i="30" s="1"/>
  <c r="AN186" i="30"/>
  <c r="Q268" i="30"/>
  <c r="S268" i="30"/>
  <c r="AJ268" i="30" s="1"/>
  <c r="X103" i="30"/>
  <c r="Y103" i="30" s="1"/>
  <c r="AI103" i="30"/>
  <c r="AJ103" i="30" s="1"/>
  <c r="AI124" i="30"/>
  <c r="AM223" i="30"/>
  <c r="AC146" i="30"/>
  <c r="AA146" i="30"/>
  <c r="AE62" i="30"/>
  <c r="S98" i="30"/>
  <c r="AH98" i="30" s="1"/>
  <c r="Q98" i="30"/>
  <c r="X129" i="30"/>
  <c r="Y129" i="30" s="1"/>
  <c r="AN129" i="30"/>
  <c r="AC213" i="30"/>
  <c r="X210" i="30"/>
  <c r="Y210" i="30" s="1"/>
  <c r="AD210" i="30"/>
  <c r="AE210" i="30" s="1"/>
  <c r="AJ207" i="30"/>
  <c r="T303" i="30"/>
  <c r="S303" i="30"/>
  <c r="AH303" i="30" s="1"/>
  <c r="X237" i="30"/>
  <c r="Y237" i="30" s="1"/>
  <c r="AN237" i="30"/>
  <c r="AI70" i="30"/>
  <c r="AJ70" i="30" s="1"/>
  <c r="X70" i="30"/>
  <c r="Y70" i="30" s="1"/>
  <c r="AN70" i="30"/>
  <c r="Q52" i="30"/>
  <c r="T52" i="30"/>
  <c r="T232" i="30"/>
  <c r="AM232" i="30" s="1"/>
  <c r="S232" i="30"/>
  <c r="AH232" i="30" s="1"/>
  <c r="Q241" i="30"/>
  <c r="T241" i="30"/>
  <c r="AM241" i="30" s="1"/>
  <c r="X30" i="30"/>
  <c r="Y30" i="30" s="1"/>
  <c r="AD30" i="30"/>
  <c r="AE30" i="30" s="1"/>
  <c r="X219" i="30"/>
  <c r="Y219" i="30" s="1"/>
  <c r="AD219" i="30"/>
  <c r="X185" i="30"/>
  <c r="Y185" i="30" s="1"/>
  <c r="AD185" i="30"/>
  <c r="AE185" i="30" s="1"/>
  <c r="X218" i="30"/>
  <c r="Y218" i="30" s="1"/>
  <c r="AN218" i="30"/>
  <c r="Q308" i="30"/>
  <c r="S308" i="30"/>
  <c r="AJ308" i="30" s="1"/>
  <c r="X217" i="30"/>
  <c r="Y217" i="30" s="1"/>
  <c r="AI217" i="30"/>
  <c r="AJ217" i="30" s="1"/>
  <c r="AN217" i="30"/>
  <c r="AO217" i="30" s="1"/>
  <c r="T123" i="30"/>
  <c r="S123" i="30"/>
  <c r="AH123" i="30" s="1"/>
  <c r="X79" i="30"/>
  <c r="Y79" i="30" s="1"/>
  <c r="AN79" i="30"/>
  <c r="X236" i="30"/>
  <c r="Y236" i="30" s="1"/>
  <c r="AF236" i="30" s="1"/>
  <c r="AQ236" i="30" s="1"/>
  <c r="AN236" i="30"/>
  <c r="X272" i="30"/>
  <c r="Y272" i="30" s="1"/>
  <c r="AI272" i="30"/>
  <c r="AJ272" i="30" s="1"/>
  <c r="AN272" i="30"/>
  <c r="AO272" i="30" s="1"/>
  <c r="X111" i="30"/>
  <c r="Y111" i="30" s="1"/>
  <c r="AI111" i="30"/>
  <c r="X97" i="30"/>
  <c r="Y97" i="30" s="1"/>
  <c r="AO299" i="30"/>
  <c r="AE161" i="30"/>
  <c r="AH270" i="30"/>
  <c r="Y29" i="30"/>
  <c r="AC317" i="30"/>
  <c r="S245" i="30"/>
  <c r="T245" i="30"/>
  <c r="AM245" i="30" s="1"/>
  <c r="S94" i="30"/>
  <c r="AJ94" i="30" s="1"/>
  <c r="Q94" i="30"/>
  <c r="AA175" i="30"/>
  <c r="AC175" i="30"/>
  <c r="AA294" i="30"/>
  <c r="AC40" i="30"/>
  <c r="X268" i="30"/>
  <c r="Y268" i="30" s="1"/>
  <c r="X260" i="30"/>
  <c r="Y260" i="30" s="1"/>
  <c r="AA24" i="30"/>
  <c r="AJ326" i="30"/>
  <c r="AA44" i="30"/>
  <c r="S25" i="30"/>
  <c r="AH25" i="30" s="1"/>
  <c r="T25" i="30"/>
  <c r="AM25" i="30" s="1"/>
  <c r="X187" i="30"/>
  <c r="Y187" i="30" s="1"/>
  <c r="X156" i="30"/>
  <c r="Y156" i="30" s="1"/>
  <c r="X98" i="30"/>
  <c r="Y98" i="30" s="1"/>
  <c r="AI98" i="30"/>
  <c r="Y62" i="30"/>
  <c r="X95" i="30"/>
  <c r="Y95" i="30" s="1"/>
  <c r="AI95" i="30"/>
  <c r="AJ95" i="30" s="1"/>
  <c r="AN95" i="30"/>
  <c r="X16" i="30"/>
  <c r="Y16" i="30" s="1"/>
  <c r="AD16" i="30"/>
  <c r="AE16" i="30" s="1"/>
  <c r="AA103" i="30"/>
  <c r="AA282" i="30"/>
  <c r="Y194" i="30"/>
  <c r="X294" i="30"/>
  <c r="Y294" i="30" s="1"/>
  <c r="AM169" i="30"/>
  <c r="AA25" i="30"/>
  <c r="X266" i="30"/>
  <c r="Y266" i="30" s="1"/>
  <c r="X24" i="30"/>
  <c r="Y24" i="30" s="1"/>
  <c r="X63" i="30"/>
  <c r="X52" i="30"/>
  <c r="Y52" i="30" s="1"/>
  <c r="X312" i="30"/>
  <c r="Y312" i="30" s="1"/>
  <c r="X308" i="30"/>
  <c r="Y308" i="30" s="1"/>
  <c r="X223" i="30"/>
  <c r="Y223" i="30" s="1"/>
  <c r="X303" i="30"/>
  <c r="Y303" i="30" s="1"/>
  <c r="X123" i="30"/>
  <c r="Y123" i="30" s="1"/>
  <c r="X116" i="30"/>
  <c r="Y116" i="30" s="1"/>
  <c r="AC48" i="30"/>
  <c r="AA179" i="30"/>
  <c r="AA154" i="30"/>
  <c r="AF154" i="30" s="1"/>
  <c r="AQ154" i="30" s="1"/>
  <c r="AA254" i="30"/>
  <c r="AM266" i="30"/>
  <c r="X108" i="30"/>
  <c r="Y108" i="30" s="1"/>
  <c r="X109" i="30"/>
  <c r="Y109" i="30" s="1"/>
  <c r="AJ223" i="30"/>
  <c r="AH223" i="30"/>
  <c r="AM161" i="30"/>
  <c r="AO161" i="30"/>
  <c r="AM146" i="30"/>
  <c r="AO146" i="30"/>
  <c r="S249" i="30"/>
  <c r="T249" i="30"/>
  <c r="Q186" i="30"/>
  <c r="T186" i="30"/>
  <c r="X138" i="30"/>
  <c r="Y138" i="30" s="1"/>
  <c r="AN138" i="30"/>
  <c r="AI138" i="30"/>
  <c r="X245" i="30"/>
  <c r="Y245" i="30" s="1"/>
  <c r="AD245" i="30"/>
  <c r="AE245" i="30" s="1"/>
  <c r="AC116" i="30"/>
  <c r="AA116" i="30"/>
  <c r="AE116" i="30"/>
  <c r="N173" i="37"/>
  <c r="P173" i="37" s="1"/>
  <c r="P172" i="37"/>
  <c r="AO208" i="30"/>
  <c r="AH74" i="30"/>
  <c r="AM56" i="30"/>
  <c r="AO56" i="30"/>
  <c r="AO97" i="30"/>
  <c r="AN245" i="30"/>
  <c r="AC286" i="30"/>
  <c r="AE286" i="30"/>
  <c r="T129" i="30"/>
  <c r="Q129" i="30"/>
  <c r="AE22" i="30"/>
  <c r="AA22" i="30"/>
  <c r="S48" i="30"/>
  <c r="T48" i="30"/>
  <c r="X195" i="30"/>
  <c r="AN195" i="30"/>
  <c r="AO195" i="30" s="1"/>
  <c r="AI195" i="30"/>
  <c r="AJ195" i="30" s="1"/>
  <c r="AE232" i="30"/>
  <c r="AA232" i="30"/>
  <c r="X84" i="30"/>
  <c r="AI84" i="30"/>
  <c r="AD84" i="30"/>
  <c r="X17" i="30"/>
  <c r="Y17" i="30" s="1"/>
  <c r="AI17" i="30"/>
  <c r="AD17" i="30"/>
  <c r="AE17" i="30" s="1"/>
  <c r="Q161" i="30"/>
  <c r="S161" i="30"/>
  <c r="T118" i="30"/>
  <c r="Q118" i="30"/>
  <c r="S120" i="30"/>
  <c r="AH120" i="30" s="1"/>
  <c r="Q120" i="30"/>
  <c r="S313" i="30"/>
  <c r="T313" i="30"/>
  <c r="T199" i="30"/>
  <c r="Q199" i="30"/>
  <c r="I8" i="33"/>
  <c r="L8" i="33" s="1"/>
  <c r="I9" i="33"/>
  <c r="L9" i="33" s="1"/>
  <c r="AM16" i="26"/>
  <c r="AC22" i="30"/>
  <c r="AO22" i="30"/>
  <c r="S211" i="30"/>
  <c r="AH211" i="30" s="1"/>
  <c r="T112" i="30"/>
  <c r="S295" i="30"/>
  <c r="AJ295" i="30" s="1"/>
  <c r="AO83" i="30"/>
  <c r="AC232" i="30"/>
  <c r="AC169" i="30"/>
  <c r="AH236" i="30"/>
  <c r="AJ236" i="30"/>
  <c r="T120" i="30"/>
  <c r="AA52" i="30"/>
  <c r="Q236" i="30"/>
  <c r="T236" i="30"/>
  <c r="Q271" i="30"/>
  <c r="T271" i="30"/>
  <c r="AM271" i="30" s="1"/>
  <c r="Q17" i="30"/>
  <c r="S17" i="30"/>
  <c r="AH17" i="30" s="1"/>
  <c r="X211" i="30"/>
  <c r="Y211" i="30" s="1"/>
  <c r="AI211" i="30"/>
  <c r="AN211" i="30"/>
  <c r="AO211" i="30" s="1"/>
  <c r="Q216" i="30"/>
  <c r="S216" i="30"/>
  <c r="AJ216" i="30" s="1"/>
  <c r="S109" i="30"/>
  <c r="AH109" i="30" s="1"/>
  <c r="T109" i="30"/>
  <c r="Q16" i="30"/>
  <c r="T16" i="30"/>
  <c r="S16" i="30"/>
  <c r="AX152" i="37"/>
  <c r="AY152" i="37" s="1"/>
  <c r="AI152" i="37"/>
  <c r="AJ152" i="37" s="1"/>
  <c r="AQ152" i="37"/>
  <c r="AX139" i="37"/>
  <c r="AI139" i="37"/>
  <c r="AJ139" i="37" s="1"/>
  <c r="AQ139" i="37"/>
  <c r="U133" i="37"/>
  <c r="V133" i="37"/>
  <c r="AW133" i="37" s="1"/>
  <c r="AF133" i="37"/>
  <c r="T132" i="37"/>
  <c r="W132" i="37" s="1"/>
  <c r="T129" i="37"/>
  <c r="W129" i="37" s="1"/>
  <c r="V121" i="37"/>
  <c r="AW121" i="37" s="1"/>
  <c r="AF121" i="37"/>
  <c r="AI119" i="37"/>
  <c r="AJ119" i="37" s="1"/>
  <c r="AQ119" i="37"/>
  <c r="AX119" i="37"/>
  <c r="U118" i="37"/>
  <c r="AP118" i="37" s="1"/>
  <c r="AQ101" i="37"/>
  <c r="AI101" i="37"/>
  <c r="AJ101" i="37" s="1"/>
  <c r="AX101" i="37"/>
  <c r="AI61" i="37"/>
  <c r="AJ61" i="37" s="1"/>
  <c r="AQ61" i="37"/>
  <c r="AX61" i="37"/>
  <c r="AY61" i="37" s="1"/>
  <c r="U46" i="37"/>
  <c r="V46" i="37"/>
  <c r="W46" i="37"/>
  <c r="U27" i="37"/>
  <c r="V27" i="37"/>
  <c r="W27" i="37"/>
  <c r="V16" i="37"/>
  <c r="U16" i="37"/>
  <c r="AF16" i="37"/>
  <c r="AH16" i="37"/>
  <c r="X180" i="30"/>
  <c r="Y180" i="30" s="1"/>
  <c r="AN180" i="30"/>
  <c r="AO180" i="30" s="1"/>
  <c r="AD180" i="30"/>
  <c r="AE180" i="30" s="1"/>
  <c r="AN157" i="30"/>
  <c r="X157" i="30"/>
  <c r="Y157" i="30" s="1"/>
  <c r="AI157" i="30"/>
  <c r="X155" i="30"/>
  <c r="Y155" i="30" s="1"/>
  <c r="AD155" i="30"/>
  <c r="AN155" i="30"/>
  <c r="X255" i="30"/>
  <c r="Y255" i="30" s="1"/>
  <c r="AI255" i="30"/>
  <c r="AN255" i="30"/>
  <c r="X270" i="30"/>
  <c r="Y270" i="30" s="1"/>
  <c r="AD270" i="30"/>
  <c r="AI270" i="30"/>
  <c r="AJ270" i="30" s="1"/>
  <c r="Y16" i="26"/>
  <c r="Z16" i="26" s="1"/>
  <c r="U16" i="26"/>
  <c r="V16" i="26" s="1"/>
  <c r="I17" i="33"/>
  <c r="L17" i="33" s="1"/>
  <c r="I16" i="33"/>
  <c r="L16" i="33" s="1"/>
  <c r="AJ102" i="30"/>
  <c r="AJ88" i="30"/>
  <c r="AO165" i="30"/>
  <c r="AJ303" i="30"/>
  <c r="Q109" i="30"/>
  <c r="AM150" i="30"/>
  <c r="AO150" i="30"/>
  <c r="Q112" i="30"/>
  <c r="S118" i="30"/>
  <c r="AH118" i="30" s="1"/>
  <c r="Q211" i="30"/>
  <c r="AN84" i="30"/>
  <c r="AM207" i="30"/>
  <c r="AJ52" i="30"/>
  <c r="AI180" i="30"/>
  <c r="AJ180" i="30" s="1"/>
  <c r="S169" i="30"/>
  <c r="AM30" i="30"/>
  <c r="AH35" i="30"/>
  <c r="T262" i="30"/>
  <c r="AM262" i="30" s="1"/>
  <c r="Q57" i="30"/>
  <c r="Q23" i="30"/>
  <c r="S23" i="30"/>
  <c r="AH23" i="30" s="1"/>
  <c r="X241" i="30"/>
  <c r="Y241" i="30" s="1"/>
  <c r="AD241" i="30"/>
  <c r="AE241" i="30" s="1"/>
  <c r="AI241" i="30"/>
  <c r="AJ241" i="30" s="1"/>
  <c r="AN241" i="30"/>
  <c r="S146" i="30"/>
  <c r="Q146" i="30"/>
  <c r="Q189" i="30"/>
  <c r="S189" i="30"/>
  <c r="AJ189" i="30" s="1"/>
  <c r="S209" i="30"/>
  <c r="T209" i="30"/>
  <c r="X78" i="30"/>
  <c r="Y78" i="30" s="1"/>
  <c r="AD78" i="30"/>
  <c r="AE78" i="30" s="1"/>
  <c r="AN78" i="30"/>
  <c r="AO78" i="30" s="1"/>
  <c r="T111" i="30"/>
  <c r="AM111" i="30" s="1"/>
  <c r="S111" i="30"/>
  <c r="AH111" i="30" s="1"/>
  <c r="AH103" i="30"/>
  <c r="AO35" i="30"/>
  <c r="W188" i="37"/>
  <c r="U188" i="37"/>
  <c r="V188" i="37"/>
  <c r="AI193" i="37"/>
  <c r="AX193" i="37"/>
  <c r="AI168" i="37"/>
  <c r="AQ168" i="37"/>
  <c r="AX168" i="37"/>
  <c r="AX158" i="37"/>
  <c r="AQ158" i="37"/>
  <c r="X110" i="30"/>
  <c r="Y110" i="30" s="1"/>
  <c r="AN110" i="30"/>
  <c r="AO110" i="30" s="1"/>
  <c r="Q134" i="30"/>
  <c r="S134" i="30"/>
  <c r="E6" i="32"/>
  <c r="E21" i="32" s="1"/>
  <c r="F41" i="36"/>
  <c r="E4" i="32"/>
  <c r="H13" i="36"/>
  <c r="V165" i="37"/>
  <c r="U165" i="37"/>
  <c r="W165" i="37"/>
  <c r="V164" i="37"/>
  <c r="U164" i="37"/>
  <c r="AI142" i="37"/>
  <c r="AJ142" i="37" s="1"/>
  <c r="AX142" i="37"/>
  <c r="V120" i="37"/>
  <c r="AW120" i="37" s="1"/>
  <c r="AF120" i="37"/>
  <c r="AX98" i="37"/>
  <c r="AQ98" i="37"/>
  <c r="AI98" i="37"/>
  <c r="Z84" i="37"/>
  <c r="AA84" i="37" s="1"/>
  <c r="P84" i="37"/>
  <c r="T84" i="37" s="1"/>
  <c r="AD84" i="37" s="1"/>
  <c r="T41" i="37"/>
  <c r="W41" i="37" s="1"/>
  <c r="AQ36" i="37"/>
  <c r="AI36" i="37"/>
  <c r="AJ36" i="37" s="1"/>
  <c r="V21" i="37"/>
  <c r="W21" i="37"/>
  <c r="U21" i="37"/>
  <c r="T24" i="30"/>
  <c r="Q24" i="30"/>
  <c r="H86" i="32"/>
  <c r="AH326" i="30"/>
  <c r="T267" i="30"/>
  <c r="AM267" i="30" s="1"/>
  <c r="AI108" i="30"/>
  <c r="AJ108" i="30" s="1"/>
  <c r="AD110" i="30"/>
  <c r="AE110" i="30" s="1"/>
  <c r="AN111" i="30"/>
  <c r="V138" i="37"/>
  <c r="AO64" i="30"/>
  <c r="AE170" i="30"/>
  <c r="S261" i="30"/>
  <c r="W24" i="37"/>
  <c r="X31" i="30"/>
  <c r="Y31" i="30" s="1"/>
  <c r="AD31" i="30"/>
  <c r="AE31" i="30" s="1"/>
  <c r="X64" i="30"/>
  <c r="Y64" i="30" s="1"/>
  <c r="AI64" i="30"/>
  <c r="AE219" i="30"/>
  <c r="X65" i="30"/>
  <c r="AD65" i="30"/>
  <c r="AE65" i="30" s="1"/>
  <c r="V94" i="37"/>
  <c r="I19" i="36"/>
  <c r="U200" i="37"/>
  <c r="V200" i="37"/>
  <c r="AI182" i="37"/>
  <c r="AJ182" i="37" s="1"/>
  <c r="AX182" i="37"/>
  <c r="AQ182" i="37"/>
  <c r="AX157" i="37"/>
  <c r="AI157" i="37"/>
  <c r="AJ157" i="37" s="1"/>
  <c r="AQ157" i="37"/>
  <c r="AR157" i="37" s="1"/>
  <c r="U126" i="37"/>
  <c r="V126" i="37"/>
  <c r="AQ91" i="37"/>
  <c r="AI91" i="37"/>
  <c r="AJ91" i="37" s="1"/>
  <c r="U15" i="37"/>
  <c r="V15" i="37"/>
  <c r="X310" i="30"/>
  <c r="Y310" i="30" s="1"/>
  <c r="AI310" i="30"/>
  <c r="X96" i="30"/>
  <c r="Y96" i="30" s="1"/>
  <c r="AI96" i="30"/>
  <c r="AJ96" i="30" s="1"/>
  <c r="X273" i="30"/>
  <c r="Y273" i="30" s="1"/>
  <c r="X277" i="30"/>
  <c r="Y277" i="30" s="1"/>
  <c r="AJ194" i="30"/>
  <c r="AJ269" i="30"/>
  <c r="AN108" i="30"/>
  <c r="AO108" i="30" s="1"/>
  <c r="AN117" i="30"/>
  <c r="AO89" i="30"/>
  <c r="AD273" i="30"/>
  <c r="AE63" i="30"/>
  <c r="X295" i="30"/>
  <c r="Y295" i="30" s="1"/>
  <c r="AN295" i="30"/>
  <c r="X120" i="30"/>
  <c r="Y120" i="30" s="1"/>
  <c r="AD120" i="30"/>
  <c r="AE120" i="30" s="1"/>
  <c r="X83" i="30"/>
  <c r="Y83" i="30" s="1"/>
  <c r="AD83" i="30"/>
  <c r="AE83" i="30" s="1"/>
  <c r="AH120" i="37"/>
  <c r="W55" i="37"/>
  <c r="W164" i="37"/>
  <c r="AI86" i="37"/>
  <c r="S24" i="30"/>
  <c r="S66" i="30"/>
  <c r="Q66" i="30"/>
  <c r="T66" i="30"/>
  <c r="AM66" i="30" s="1"/>
  <c r="AE109" i="30"/>
  <c r="X118" i="30"/>
  <c r="Y118" i="30" s="1"/>
  <c r="AN118" i="30"/>
  <c r="U39" i="37"/>
  <c r="AP39" i="37" s="1"/>
  <c r="T195" i="37"/>
  <c r="W195" i="37" s="1"/>
  <c r="AI181" i="37"/>
  <c r="AJ181" i="37" s="1"/>
  <c r="AQ181" i="37"/>
  <c r="AX181" i="37"/>
  <c r="U156" i="37"/>
  <c r="V156" i="37"/>
  <c r="AH122" i="37"/>
  <c r="X307" i="30"/>
  <c r="Y307" i="30" s="1"/>
  <c r="AD307" i="30"/>
  <c r="AE307" i="30" s="1"/>
  <c r="X125" i="30"/>
  <c r="Y125" i="30" s="1"/>
  <c r="AI125" i="30"/>
  <c r="AJ125" i="30" s="1"/>
  <c r="AN121" i="30"/>
  <c r="AO121" i="30" s="1"/>
  <c r="AI121" i="30"/>
  <c r="X121" i="30"/>
  <c r="Y121" i="30" s="1"/>
  <c r="AE255" i="30"/>
  <c r="AQ192" i="37"/>
  <c r="AR192" i="37" s="1"/>
  <c r="AX192" i="37"/>
  <c r="AQ189" i="37"/>
  <c r="AX189" i="37"/>
  <c r="T103" i="37"/>
  <c r="W103" i="37" s="1"/>
  <c r="T96" i="37"/>
  <c r="T83" i="37"/>
  <c r="W83" i="37" s="1"/>
  <c r="AJ53" i="37"/>
  <c r="AF53" i="37"/>
  <c r="V53" i="37"/>
  <c r="AW53" i="37" s="1"/>
  <c r="AQ48" i="37"/>
  <c r="AX48" i="37"/>
  <c r="AI48" i="37"/>
  <c r="AJ48" i="37" s="1"/>
  <c r="X175" i="30"/>
  <c r="Y175" i="30" s="1"/>
  <c r="AN175" i="30"/>
  <c r="AI175" i="30"/>
  <c r="AJ175" i="30" s="1"/>
  <c r="AD290" i="30"/>
  <c r="AE290" i="30" s="1"/>
  <c r="AN290" i="30"/>
  <c r="X232" i="30"/>
  <c r="Y232" i="30" s="1"/>
  <c r="AI232" i="30"/>
  <c r="AN232" i="30"/>
  <c r="AF223" i="30"/>
  <c r="AQ223" i="30" s="1"/>
  <c r="X216" i="30"/>
  <c r="Y216" i="30" s="1"/>
  <c r="X203" i="30"/>
  <c r="Y203" i="30" s="1"/>
  <c r="AN203" i="30"/>
  <c r="AO203" i="30" s="1"/>
  <c r="X271" i="30"/>
  <c r="Y271" i="30" s="1"/>
  <c r="AI271" i="30"/>
  <c r="AJ271" i="30" s="1"/>
  <c r="AE267" i="30"/>
  <c r="AK90" i="37"/>
  <c r="AD90" i="37"/>
  <c r="AK106" i="37"/>
  <c r="AD106" i="37"/>
  <c r="AD110" i="37"/>
  <c r="AK110" i="37"/>
  <c r="AD146" i="37"/>
  <c r="AK146" i="37"/>
  <c r="AK150" i="37"/>
  <c r="AD150" i="37"/>
  <c r="AD194" i="37"/>
  <c r="AK194" i="37"/>
  <c r="AD198" i="37"/>
  <c r="AK198" i="37"/>
  <c r="Y209" i="30"/>
  <c r="X286" i="30"/>
  <c r="Y286" i="30" s="1"/>
  <c r="X290" i="30"/>
  <c r="Y290" i="30" s="1"/>
  <c r="AF330" i="30"/>
  <c r="AQ330" i="30" s="1"/>
  <c r="AE138" i="30"/>
  <c r="AE211" i="30"/>
  <c r="AC120" i="30"/>
  <c r="AO96" i="30"/>
  <c r="X56" i="30"/>
  <c r="Y56" i="30" s="1"/>
  <c r="AI56" i="30"/>
  <c r="AJ56" i="30" s="1"/>
  <c r="X212" i="30"/>
  <c r="Y212" i="30" s="1"/>
  <c r="D6" i="32"/>
  <c r="D21" i="32" s="1"/>
  <c r="AH203" i="37"/>
  <c r="T184" i="37"/>
  <c r="W184" i="37" s="1"/>
  <c r="AJ171" i="37"/>
  <c r="AX124" i="37"/>
  <c r="AQ124" i="37"/>
  <c r="T76" i="37"/>
  <c r="W76" i="37" s="1"/>
  <c r="AI31" i="37"/>
  <c r="AJ31" i="37" s="1"/>
  <c r="AQ31" i="37"/>
  <c r="X311" i="30"/>
  <c r="Y311" i="30" s="1"/>
  <c r="AI311" i="30"/>
  <c r="AJ311" i="30" s="1"/>
  <c r="AD311" i="30"/>
  <c r="AE311" i="30" s="1"/>
  <c r="AN311" i="30"/>
  <c r="AO311" i="30" s="1"/>
  <c r="X228" i="30"/>
  <c r="Y228" i="30" s="1"/>
  <c r="AD228" i="30"/>
  <c r="AE228" i="30" s="1"/>
  <c r="I6" i="33"/>
  <c r="L6" i="33" s="1"/>
  <c r="B24" i="33"/>
  <c r="I7" i="33"/>
  <c r="L7" i="33" s="1"/>
  <c r="P106" i="37"/>
  <c r="N108" i="37"/>
  <c r="X267" i="30"/>
  <c r="Y267" i="30" s="1"/>
  <c r="Y63" i="30"/>
  <c r="AA79" i="30"/>
  <c r="AA125" i="30"/>
  <c r="AQ203" i="37"/>
  <c r="AI203" i="37"/>
  <c r="AJ203" i="37" s="1"/>
  <c r="AJ189" i="37"/>
  <c r="AH185" i="37"/>
  <c r="AH148" i="37"/>
  <c r="AX81" i="37"/>
  <c r="AQ81" i="37"/>
  <c r="AF48" i="37"/>
  <c r="AF33" i="37"/>
  <c r="X224" i="30"/>
  <c r="Y224" i="30" s="1"/>
  <c r="AN224" i="30"/>
  <c r="AE212" i="30"/>
  <c r="AD102" i="30"/>
  <c r="AE102" i="30" s="1"/>
  <c r="X102" i="30"/>
  <c r="Y102" i="30" s="1"/>
  <c r="X188" i="30"/>
  <c r="Y188" i="30" s="1"/>
  <c r="AI188" i="30"/>
  <c r="AN262" i="30"/>
  <c r="U24" i="26"/>
  <c r="V24" i="26" s="1"/>
  <c r="AG24" i="26" s="1"/>
  <c r="AF16" i="26"/>
  <c r="C6" i="32"/>
  <c r="C21" i="32" s="1"/>
  <c r="AH162" i="37"/>
  <c r="AQ133" i="37"/>
  <c r="AX133" i="37"/>
  <c r="AY127" i="37"/>
  <c r="X35" i="30"/>
  <c r="Y35" i="30" s="1"/>
  <c r="X40" i="30"/>
  <c r="Y40" i="30" s="1"/>
  <c r="AI40" i="30"/>
  <c r="AJ40" i="30" s="1"/>
  <c r="X207" i="30"/>
  <c r="Y207" i="30" s="1"/>
  <c r="AN207" i="30"/>
  <c r="AO207" i="30" s="1"/>
  <c r="AD24" i="26"/>
  <c r="AC16" i="26"/>
  <c r="AD16" i="26" s="1"/>
  <c r="W16" i="26"/>
  <c r="X16" i="26" s="1"/>
  <c r="H87" i="32"/>
  <c r="AD45" i="37"/>
  <c r="AK45" i="37"/>
  <c r="AD53" i="37"/>
  <c r="AD93" i="37"/>
  <c r="AK93" i="37"/>
  <c r="AD121" i="37"/>
  <c r="AD129" i="37"/>
  <c r="AK129" i="37"/>
  <c r="AK141" i="37"/>
  <c r="AD141" i="37"/>
  <c r="AK165" i="37"/>
  <c r="AD165" i="37"/>
  <c r="AD185" i="37"/>
  <c r="AK197" i="37"/>
  <c r="AD197" i="37"/>
  <c r="AK205" i="37"/>
  <c r="AD205" i="37"/>
  <c r="AE23" i="30"/>
  <c r="X184" i="30"/>
  <c r="Y184" i="30" s="1"/>
  <c r="X208" i="30"/>
  <c r="Y208" i="30" s="1"/>
  <c r="D4" i="32"/>
  <c r="D5" i="32" s="1"/>
  <c r="W15" i="37"/>
  <c r="Y262" i="30"/>
  <c r="AA256" i="30"/>
  <c r="AC95" i="30"/>
  <c r="AC194" i="30"/>
  <c r="AC256" i="30"/>
  <c r="AC211" i="30"/>
  <c r="AJ170" i="30"/>
  <c r="AJ119" i="30"/>
  <c r="AE122" i="30"/>
  <c r="AA211" i="30"/>
  <c r="AA186" i="30"/>
  <c r="AE40" i="30"/>
  <c r="AC79" i="30"/>
  <c r="AH194" i="30"/>
  <c r="AE282" i="30"/>
  <c r="AA95" i="30"/>
  <c r="AA124" i="30"/>
  <c r="AC308" i="30"/>
  <c r="AA90" i="30"/>
  <c r="AC186" i="30"/>
  <c r="AA109" i="30"/>
  <c r="AA218" i="30"/>
  <c r="AM97" i="30"/>
  <c r="AC282" i="30"/>
  <c r="AM64" i="30"/>
  <c r="AO188" i="30"/>
  <c r="AH272" i="30"/>
  <c r="AE95" i="30"/>
  <c r="AJ117" i="30"/>
  <c r="AE89" i="30"/>
  <c r="AJ299" i="30"/>
  <c r="AE186" i="30"/>
  <c r="Y122" i="30"/>
  <c r="AA130" i="30"/>
  <c r="AH65" i="30"/>
  <c r="AC57" i="30"/>
  <c r="AA188" i="30"/>
  <c r="AC187" i="30"/>
  <c r="AM311" i="30"/>
  <c r="AO308" i="30"/>
  <c r="AJ282" i="30"/>
  <c r="AM214" i="30"/>
  <c r="AC89" i="30"/>
  <c r="Y195" i="30"/>
  <c r="AO171" i="30"/>
  <c r="AM171" i="30"/>
  <c r="AM194" i="30"/>
  <c r="AO156" i="30"/>
  <c r="AM156" i="30"/>
  <c r="AC117" i="30"/>
  <c r="AA117" i="30"/>
  <c r="Y117" i="30"/>
  <c r="AH186" i="30"/>
  <c r="AA271" i="30"/>
  <c r="AE271" i="30"/>
  <c r="AC261" i="30"/>
  <c r="AA261" i="30"/>
  <c r="AC269" i="30"/>
  <c r="AA269" i="30"/>
  <c r="AJ215" i="30"/>
  <c r="AH215" i="30"/>
  <c r="AM180" i="30"/>
  <c r="AM170" i="30"/>
  <c r="AA120" i="30"/>
  <c r="AM299" i="30"/>
  <c r="AE90" i="30"/>
  <c r="AM98" i="30"/>
  <c r="AC109" i="30"/>
  <c r="AE117" i="30"/>
  <c r="AM89" i="30"/>
  <c r="AM110" i="30"/>
  <c r="AO65" i="30"/>
  <c r="AM57" i="30"/>
  <c r="AE269" i="30"/>
  <c r="AE261" i="30"/>
  <c r="AC66" i="30"/>
  <c r="AE66" i="30"/>
  <c r="AA66" i="30"/>
  <c r="AC268" i="30"/>
  <c r="AE268" i="30"/>
  <c r="AA310" i="30"/>
  <c r="AH125" i="30"/>
  <c r="AH40" i="30"/>
  <c r="Y84" i="30"/>
  <c r="AM17" i="30"/>
  <c r="AO17" i="30"/>
  <c r="Y214" i="30"/>
  <c r="AO216" i="30"/>
  <c r="AM216" i="30"/>
  <c r="AH267" i="30"/>
  <c r="AJ267" i="30"/>
  <c r="AH79" i="30"/>
  <c r="AJ79" i="30"/>
  <c r="AC219" i="30"/>
  <c r="AA219" i="30"/>
  <c r="AC218" i="30"/>
  <c r="AE218" i="30"/>
  <c r="AC23" i="30"/>
  <c r="AC130" i="30"/>
  <c r="AH195" i="30"/>
  <c r="AE214" i="30"/>
  <c r="AH218" i="30"/>
  <c r="AM217" i="30"/>
  <c r="AC310" i="30"/>
  <c r="AE213" i="30"/>
  <c r="AC215" i="30"/>
  <c r="AC110" i="30"/>
  <c r="AJ214" i="30"/>
  <c r="AH214" i="30"/>
  <c r="AC312" i="30"/>
  <c r="AA312" i="30"/>
  <c r="AA23" i="30"/>
  <c r="AM96" i="30"/>
  <c r="AC214" i="30"/>
  <c r="AA110" i="30"/>
  <c r="AA213" i="30"/>
  <c r="AO215" i="30"/>
  <c r="AE187" i="30"/>
  <c r="AM31" i="30"/>
  <c r="AH271" i="30"/>
  <c r="AH112" i="30"/>
  <c r="AM256" i="30"/>
  <c r="AM195" i="30"/>
  <c r="AJ213" i="30"/>
  <c r="AH213" i="30"/>
  <c r="AH90" i="30"/>
  <c r="AC64" i="30"/>
  <c r="AE64" i="30"/>
  <c r="AH312" i="30"/>
  <c r="Y57" i="30"/>
  <c r="AH89" i="30"/>
  <c r="AJ89" i="30"/>
  <c r="AA63" i="30"/>
  <c r="AC63" i="30"/>
  <c r="AM312" i="30"/>
  <c r="AO312" i="30"/>
  <c r="AE216" i="30"/>
  <c r="AC295" i="30"/>
  <c r="AA295" i="30"/>
  <c r="AE295" i="30"/>
  <c r="AM219" i="30"/>
  <c r="AO219" i="30"/>
  <c r="AE84" i="30"/>
  <c r="AM261" i="30"/>
  <c r="AO261" i="30"/>
  <c r="AM117" i="30"/>
  <c r="AC299" i="30"/>
  <c r="AA299" i="30"/>
  <c r="AC24" i="30"/>
  <c r="AE24" i="30"/>
  <c r="AC216" i="30"/>
  <c r="AE215" i="30"/>
  <c r="AC97" i="30"/>
  <c r="AH219" i="30"/>
  <c r="AC262" i="30"/>
  <c r="AA262" i="30"/>
  <c r="AE262" i="30"/>
  <c r="Y65" i="30"/>
  <c r="AM272" i="30"/>
  <c r="AO23" i="30"/>
  <c r="AM23" i="30"/>
  <c r="AA96" i="30"/>
  <c r="AE119" i="30"/>
  <c r="Y119" i="30"/>
  <c r="AA119" i="30"/>
  <c r="AC322" i="30"/>
  <c r="AA309" i="30"/>
  <c r="AE309" i="30"/>
  <c r="AC309" i="30"/>
  <c r="AA123" i="30"/>
  <c r="AJ185" i="30"/>
  <c r="AH185" i="30"/>
  <c r="AM185" i="30"/>
  <c r="AO185" i="30"/>
  <c r="AA189" i="30"/>
  <c r="AC189" i="30"/>
  <c r="AC311" i="30"/>
  <c r="AC96" i="30"/>
  <c r="AJ30" i="30"/>
  <c r="AJ171" i="30"/>
  <c r="AH171" i="30"/>
  <c r="AJ224" i="30"/>
  <c r="AH224" i="30"/>
  <c r="AH180" i="30"/>
  <c r="AC112" i="30"/>
  <c r="AA112" i="30"/>
  <c r="AC119" i="30"/>
  <c r="AA97" i="30"/>
  <c r="AA180" i="30"/>
  <c r="AC180" i="30"/>
  <c r="AA171" i="30"/>
  <c r="AC171" i="30"/>
  <c r="AA195" i="30"/>
  <c r="AC195" i="30"/>
  <c r="AA267" i="30"/>
  <c r="AC267" i="30"/>
  <c r="AA30" i="30"/>
  <c r="AA255" i="30"/>
  <c r="AC255" i="30"/>
  <c r="AE118" i="30"/>
  <c r="AC118" i="30"/>
  <c r="AA118" i="30"/>
  <c r="Y261" i="30"/>
  <c r="AO322" i="30"/>
  <c r="AM322" i="30"/>
  <c r="AM268" i="30"/>
  <c r="AA194" i="30"/>
  <c r="AA217" i="30"/>
  <c r="AE217" i="30"/>
  <c r="AE125" i="30"/>
  <c r="AC125" i="30"/>
  <c r="AC272" i="30"/>
  <c r="AE272" i="30"/>
  <c r="AJ110" i="30"/>
  <c r="AH110" i="30"/>
  <c r="AA98" i="30"/>
  <c r="AE98" i="30"/>
  <c r="AM212" i="30"/>
  <c r="AE111" i="30"/>
  <c r="AA111" i="30"/>
  <c r="AC111" i="30"/>
  <c r="AC185" i="30"/>
  <c r="AA185" i="30"/>
  <c r="AC170" i="30"/>
  <c r="AA170" i="30"/>
  <c r="AC65" i="30"/>
  <c r="AC25" i="30"/>
  <c r="AE25" i="30"/>
  <c r="AE156" i="30"/>
  <c r="AC156" i="30"/>
  <c r="AA156" i="30"/>
  <c r="AC212" i="30"/>
  <c r="AA212" i="30"/>
  <c r="AE121" i="30"/>
  <c r="AA121" i="30"/>
  <c r="AH311" i="30"/>
  <c r="AC138" i="30"/>
  <c r="AA138" i="30"/>
  <c r="AA84" i="30"/>
  <c r="AC84" i="30"/>
  <c r="AE270" i="30"/>
  <c r="AC270" i="30"/>
  <c r="AA270" i="30"/>
  <c r="AH95" i="30"/>
  <c r="AJ262" i="30"/>
  <c r="AH262" i="30"/>
  <c r="AH156" i="30"/>
  <c r="AJ156" i="30"/>
  <c r="AC31" i="30"/>
  <c r="AA31" i="30"/>
  <c r="AH138" i="30"/>
  <c r="AJ138" i="30"/>
  <c r="AE195" i="30"/>
  <c r="AE224" i="30"/>
  <c r="AC224" i="30"/>
  <c r="AC188" i="30"/>
  <c r="AA216" i="30"/>
  <c r="AC17" i="30"/>
  <c r="AP157" i="37"/>
  <c r="AD123" i="37"/>
  <c r="AF123" i="37"/>
  <c r="AF189" i="37"/>
  <c r="AJ121" i="37"/>
  <c r="AJ43" i="37"/>
  <c r="U202" i="37"/>
  <c r="AP202" i="37" s="1"/>
  <c r="U122" i="37"/>
  <c r="AP122" i="37" s="1"/>
  <c r="AF80" i="37"/>
  <c r="AF117" i="37"/>
  <c r="V148" i="37"/>
  <c r="AY148" i="37" s="1"/>
  <c r="AH157" i="37"/>
  <c r="U42" i="37"/>
  <c r="V185" i="37"/>
  <c r="AW185" i="37" s="1"/>
  <c r="V122" i="37"/>
  <c r="AK41" i="37"/>
  <c r="V177" i="37"/>
  <c r="U177" i="37"/>
  <c r="AP177" i="37" s="1"/>
  <c r="U120" i="37"/>
  <c r="AF122" i="37"/>
  <c r="AF85" i="37"/>
  <c r="U171" i="37"/>
  <c r="AH177" i="37"/>
  <c r="AD89" i="37"/>
  <c r="AK73" i="37"/>
  <c r="AD137" i="37"/>
  <c r="AF56" i="37"/>
  <c r="AH94" i="37"/>
  <c r="U56" i="37"/>
  <c r="AH133" i="37"/>
  <c r="AP192" i="37"/>
  <c r="AP167" i="37"/>
  <c r="U58" i="37"/>
  <c r="AF139" i="37"/>
  <c r="AH161" i="37"/>
  <c r="AW152" i="37"/>
  <c r="V32" i="37"/>
  <c r="AF32" i="37"/>
  <c r="V33" i="37"/>
  <c r="AH152" i="37"/>
  <c r="AF161" i="37"/>
  <c r="AF185" i="37"/>
  <c r="U139" i="37"/>
  <c r="AP139" i="37" s="1"/>
  <c r="AH192" i="37"/>
  <c r="AF192" i="37"/>
  <c r="AF201" i="37"/>
  <c r="V77" i="37"/>
  <c r="AH33" i="37"/>
  <c r="AK103" i="37"/>
  <c r="U161" i="37"/>
  <c r="AH180" i="37"/>
  <c r="AK183" i="37"/>
  <c r="AD35" i="37"/>
  <c r="AD199" i="37"/>
  <c r="AD135" i="37"/>
  <c r="AR185" i="37"/>
  <c r="U180" i="37"/>
  <c r="AP180" i="37" s="1"/>
  <c r="U32" i="37"/>
  <c r="U203" i="37"/>
  <c r="V202" i="37"/>
  <c r="AY202" i="37" s="1"/>
  <c r="AH85" i="37"/>
  <c r="V91" i="37"/>
  <c r="AY91" i="37" s="1"/>
  <c r="W166" i="37"/>
  <c r="AJ130" i="37"/>
  <c r="V139" i="37"/>
  <c r="AW139" i="37" s="1"/>
  <c r="AJ112" i="37"/>
  <c r="V166" i="37"/>
  <c r="U33" i="37"/>
  <c r="AR33" i="37" s="1"/>
  <c r="AD143" i="37"/>
  <c r="AW61" i="37"/>
  <c r="V171" i="37"/>
  <c r="AH81" i="37"/>
  <c r="AF130" i="37"/>
  <c r="AH112" i="37"/>
  <c r="V42" i="37"/>
  <c r="AY42" i="37" s="1"/>
  <c r="V145" i="37"/>
  <c r="AW145" i="37" s="1"/>
  <c r="U130" i="37"/>
  <c r="AD171" i="37"/>
  <c r="AY203" i="37"/>
  <c r="U162" i="37"/>
  <c r="AF203" i="37"/>
  <c r="V123" i="37"/>
  <c r="AF43" i="37"/>
  <c r="U57" i="37"/>
  <c r="U81" i="37"/>
  <c r="AP81" i="37" s="1"/>
  <c r="V81" i="37"/>
  <c r="V204" i="37"/>
  <c r="AW204" i="37" s="1"/>
  <c r="AF162" i="37"/>
  <c r="AK29" i="37"/>
  <c r="AF148" i="37"/>
  <c r="AH58" i="37"/>
  <c r="U148" i="37"/>
  <c r="AP176" i="37"/>
  <c r="AF42" i="37"/>
  <c r="AK125" i="37"/>
  <c r="U112" i="37"/>
  <c r="V44" i="37"/>
  <c r="AJ204" i="37"/>
  <c r="AH176" i="37"/>
  <c r="AD122" i="37"/>
  <c r="AH204" i="37"/>
  <c r="U123" i="37"/>
  <c r="AH43" i="37"/>
  <c r="AF202" i="37"/>
  <c r="AF81" i="37"/>
  <c r="AF171" i="37"/>
  <c r="AF58" i="37"/>
  <c r="AF145" i="37"/>
  <c r="AH61" i="37"/>
  <c r="AD177" i="37"/>
  <c r="AK113" i="37"/>
  <c r="AD32" i="37"/>
  <c r="AH39" i="37"/>
  <c r="V39" i="37"/>
  <c r="AF39" i="37"/>
  <c r="AH31" i="37"/>
  <c r="U31" i="37"/>
  <c r="V31" i="37"/>
  <c r="AD104" i="37"/>
  <c r="AK60" i="37"/>
  <c r="AD60" i="37"/>
  <c r="AF31" i="37"/>
  <c r="V118" i="37"/>
  <c r="AF118" i="37"/>
  <c r="AH118" i="37"/>
  <c r="U91" i="37"/>
  <c r="AF91" i="37"/>
  <c r="AH91" i="37"/>
  <c r="AD91" i="37"/>
  <c r="AP74" i="37"/>
  <c r="V57" i="37"/>
  <c r="AH48" i="37"/>
  <c r="V48" i="37"/>
  <c r="U48" i="37"/>
  <c r="AW162" i="37"/>
  <c r="AF57" i="37"/>
  <c r="AR117" i="37"/>
  <c r="AP117" i="37"/>
  <c r="V28" i="37"/>
  <c r="AF28" i="37"/>
  <c r="AH28" i="37"/>
  <c r="U28" i="37"/>
  <c r="U207" i="37"/>
  <c r="AJ207" i="37"/>
  <c r="AH127" i="37"/>
  <c r="U127" i="37"/>
  <c r="V117" i="37"/>
  <c r="AH117" i="37"/>
  <c r="V74" i="37"/>
  <c r="AF74" i="37"/>
  <c r="AK83" i="37"/>
  <c r="AD83" i="37"/>
  <c r="AJ176" i="37"/>
  <c r="V207" i="37"/>
  <c r="AW207" i="37" s="1"/>
  <c r="V176" i="37"/>
  <c r="V189" i="37"/>
  <c r="AH189" i="37"/>
  <c r="U136" i="37"/>
  <c r="AP136" i="37" s="1"/>
  <c r="AF136" i="37"/>
  <c r="AH136" i="37"/>
  <c r="V104" i="37"/>
  <c r="U104" i="37"/>
  <c r="AF94" i="37"/>
  <c r="AD178" i="37"/>
  <c r="AK178" i="37"/>
  <c r="AW127" i="37"/>
  <c r="U204" i="37"/>
  <c r="AH44" i="37"/>
  <c r="AD46" i="37"/>
  <c r="AD190" i="37"/>
  <c r="AH77" i="37"/>
  <c r="U189" i="37"/>
  <c r="AF127" i="37"/>
  <c r="V56" i="37"/>
  <c r="AF152" i="37"/>
  <c r="AH145" i="37"/>
  <c r="AH207" i="37"/>
  <c r="AD95" i="37"/>
  <c r="AD34" i="37"/>
  <c r="V136" i="37"/>
  <c r="AD166" i="37"/>
  <c r="AD26" i="37"/>
  <c r="V80" i="37"/>
  <c r="AH130" i="37"/>
  <c r="V192" i="37"/>
  <c r="AJ192" i="37"/>
  <c r="V180" i="37"/>
  <c r="AW180" i="37" s="1"/>
  <c r="AK54" i="37"/>
  <c r="AD51" i="37"/>
  <c r="AD114" i="37"/>
  <c r="AD206" i="37"/>
  <c r="AK78" i="37"/>
  <c r="AD138" i="37"/>
  <c r="AH17" i="37"/>
  <c r="U17" i="37"/>
  <c r="AF17" i="37"/>
  <c r="V17" i="37"/>
  <c r="V142" i="37"/>
  <c r="AF142" i="37"/>
  <c r="AH142" i="37"/>
  <c r="U142" i="37"/>
  <c r="AF119" i="37"/>
  <c r="AH119" i="37"/>
  <c r="U119" i="37"/>
  <c r="V119" i="37"/>
  <c r="U101" i="37"/>
  <c r="AF101" i="37"/>
  <c r="V101" i="37"/>
  <c r="AH101" i="37"/>
  <c r="AH50" i="37"/>
  <c r="AF50" i="37"/>
  <c r="V50" i="37"/>
  <c r="U50" i="37"/>
  <c r="AP43" i="37"/>
  <c r="V18" i="37"/>
  <c r="AJ18" i="37"/>
  <c r="AH18" i="37"/>
  <c r="AD18" i="37"/>
  <c r="U18" i="37"/>
  <c r="AF18" i="37"/>
  <c r="V182" i="37"/>
  <c r="AF182" i="37"/>
  <c r="AH182" i="37"/>
  <c r="U182" i="37"/>
  <c r="AD196" i="37"/>
  <c r="AD192" i="37"/>
  <c r="AK184" i="37"/>
  <c r="AD184" i="37"/>
  <c r="AD176" i="37"/>
  <c r="AK164" i="37"/>
  <c r="AD164" i="37"/>
  <c r="AK156" i="37"/>
  <c r="AD156" i="37"/>
  <c r="AD152" i="37"/>
  <c r="AD140" i="37"/>
  <c r="AK140" i="37"/>
  <c r="AD136" i="37"/>
  <c r="AK116" i="37"/>
  <c r="AD116" i="37"/>
  <c r="AD100" i="37"/>
  <c r="AK100" i="37"/>
  <c r="AD92" i="37"/>
  <c r="AK92" i="37"/>
  <c r="AK76" i="37"/>
  <c r="AD76" i="37"/>
  <c r="AK72" i="37"/>
  <c r="AD72" i="37"/>
  <c r="AD56" i="37"/>
  <c r="AW85" i="37"/>
  <c r="AW112" i="37"/>
  <c r="AF49" i="37"/>
  <c r="AH49" i="37"/>
  <c r="U49" i="37"/>
  <c r="V49" i="37"/>
  <c r="U170" i="37"/>
  <c r="AH170" i="37"/>
  <c r="AF170" i="37"/>
  <c r="AJ170" i="37"/>
  <c r="V170" i="37"/>
  <c r="AD204" i="37"/>
  <c r="AK188" i="37"/>
  <c r="AD188" i="37"/>
  <c r="AD180" i="37"/>
  <c r="AD160" i="37"/>
  <c r="AK160" i="37"/>
  <c r="AD144" i="37"/>
  <c r="AK144" i="37"/>
  <c r="AD132" i="37"/>
  <c r="AK132" i="37"/>
  <c r="AD128" i="37"/>
  <c r="AK128" i="37"/>
  <c r="AD120" i="37"/>
  <c r="AD112" i="37"/>
  <c r="AK96" i="37"/>
  <c r="AD96" i="37"/>
  <c r="AD80" i="37"/>
  <c r="AD52" i="37"/>
  <c r="AK52" i="37"/>
  <c r="U22" i="37"/>
  <c r="AF22" i="37"/>
  <c r="AH22" i="37"/>
  <c r="V22" i="37"/>
  <c r="AD200" i="37"/>
  <c r="AK200" i="37"/>
  <c r="U196" i="37"/>
  <c r="V196" i="37"/>
  <c r="AH196" i="37"/>
  <c r="AF196" i="37"/>
  <c r="AD40" i="37"/>
  <c r="AK40" i="37"/>
  <c r="AK20" i="37"/>
  <c r="AD20" i="37"/>
  <c r="U85" i="37"/>
  <c r="AD85" i="37"/>
  <c r="U201" i="37"/>
  <c r="AH201" i="37"/>
  <c r="U121" i="37"/>
  <c r="AH121" i="37"/>
  <c r="V36" i="37"/>
  <c r="U36" i="37"/>
  <c r="AH36" i="37"/>
  <c r="U25" i="37"/>
  <c r="V25" i="37"/>
  <c r="AF25" i="37"/>
  <c r="AW201" i="37"/>
  <c r="AW161" i="37"/>
  <c r="AY161" i="37"/>
  <c r="AF157" i="37"/>
  <c r="V157" i="37"/>
  <c r="AW130" i="37"/>
  <c r="V97" i="37"/>
  <c r="AH97" i="37"/>
  <c r="AF97" i="37"/>
  <c r="U97" i="37"/>
  <c r="AP94" i="37"/>
  <c r="AP77" i="37"/>
  <c r="V47" i="37"/>
  <c r="AF47" i="37"/>
  <c r="U47" i="37"/>
  <c r="AD167" i="37"/>
  <c r="AH167" i="37"/>
  <c r="V167" i="37"/>
  <c r="AF167" i="37"/>
  <c r="AP80" i="37"/>
  <c r="AY58" i="37"/>
  <c r="AW58" i="37"/>
  <c r="AK24" i="37"/>
  <c r="AF112" i="37"/>
  <c r="AJ133" i="37"/>
  <c r="AB11" i="26" l="1"/>
  <c r="AH20" i="26"/>
  <c r="AO109" i="30"/>
  <c r="AH94" i="30"/>
  <c r="AF260" i="30"/>
  <c r="AK260" i="30" s="1"/>
  <c r="AM102" i="30"/>
  <c r="AO281" i="30"/>
  <c r="AH57" i="30"/>
  <c r="AH212" i="30"/>
  <c r="AF203" i="30"/>
  <c r="AQ203" i="30" s="1"/>
  <c r="AO117" i="30"/>
  <c r="AJ255" i="30"/>
  <c r="AO218" i="30"/>
  <c r="AF199" i="30"/>
  <c r="AQ199" i="30" s="1"/>
  <c r="AJ188" i="30"/>
  <c r="AJ83" i="30"/>
  <c r="AF334" i="30"/>
  <c r="AQ334" i="30" s="1"/>
  <c r="AF56" i="30"/>
  <c r="AQ56" i="30" s="1"/>
  <c r="AF277" i="30"/>
  <c r="AJ130" i="30"/>
  <c r="AF134" i="30"/>
  <c r="AQ134" i="30" s="1"/>
  <c r="AM213" i="30"/>
  <c r="AH188" i="30"/>
  <c r="AM270" i="30"/>
  <c r="AO175" i="30"/>
  <c r="AO88" i="30"/>
  <c r="AO112" i="30"/>
  <c r="AF48" i="30"/>
  <c r="AQ48" i="30" s="1"/>
  <c r="AO79" i="30"/>
  <c r="AF326" i="30"/>
  <c r="AQ326" i="30" s="1"/>
  <c r="AJ165" i="30"/>
  <c r="AH165" i="30"/>
  <c r="AJ261" i="30"/>
  <c r="AO224" i="30"/>
  <c r="AO138" i="30"/>
  <c r="AF254" i="30"/>
  <c r="AQ254" i="30" s="1"/>
  <c r="AF88" i="30"/>
  <c r="AK88" i="30" s="1"/>
  <c r="H88" i="32"/>
  <c r="AH97" i="30"/>
  <c r="AO40" i="30"/>
  <c r="B22" i="33"/>
  <c r="D12" i="32" s="1"/>
  <c r="AO116" i="30"/>
  <c r="AH184" i="30"/>
  <c r="AJ122" i="30"/>
  <c r="AO95" i="30"/>
  <c r="AF208" i="30"/>
  <c r="AQ208" i="30" s="1"/>
  <c r="AF35" i="30"/>
  <c r="AK35" i="30" s="1"/>
  <c r="AO307" i="30"/>
  <c r="AM184" i="30"/>
  <c r="AF207" i="30"/>
  <c r="AQ207" i="30" s="1"/>
  <c r="AF286" i="30"/>
  <c r="AQ286" i="30" s="1"/>
  <c r="AJ64" i="30"/>
  <c r="AO84" i="30"/>
  <c r="AF142" i="30"/>
  <c r="AQ142" i="30" s="1"/>
  <c r="AG11" i="26"/>
  <c r="AJ310" i="30"/>
  <c r="AK277" i="30"/>
  <c r="AR277" i="30" s="1"/>
  <c r="AJ313" i="30"/>
  <c r="AM20" i="26"/>
  <c r="AF146" i="30"/>
  <c r="AQ146" i="30" s="1"/>
  <c r="AO119" i="30"/>
  <c r="AF94" i="30"/>
  <c r="AK94" i="30" s="1"/>
  <c r="AR94" i="30" s="1"/>
  <c r="AF108" i="30"/>
  <c r="AQ108" i="30" s="1"/>
  <c r="AF184" i="30"/>
  <c r="AQ184" i="30" s="1"/>
  <c r="AJ232" i="30"/>
  <c r="AO186" i="30"/>
  <c r="AF266" i="30"/>
  <c r="AF62" i="30"/>
  <c r="AQ62" i="30" s="1"/>
  <c r="AF210" i="30"/>
  <c r="AQ210" i="30" s="1"/>
  <c r="AF161" i="30"/>
  <c r="AQ161" i="30" s="1"/>
  <c r="AF307" i="30"/>
  <c r="AF193" i="30"/>
  <c r="AQ193" i="30" s="1"/>
  <c r="AJ121" i="30"/>
  <c r="AO255" i="30"/>
  <c r="AO245" i="30"/>
  <c r="AF179" i="30"/>
  <c r="AQ179" i="30" s="1"/>
  <c r="AF29" i="30"/>
  <c r="AQ29" i="30" s="1"/>
  <c r="AF281" i="30"/>
  <c r="AQ281" i="30" s="1"/>
  <c r="AR56" i="37"/>
  <c r="AU221" i="37"/>
  <c r="AR152" i="37"/>
  <c r="AI85" i="37"/>
  <c r="AJ85" i="37" s="1"/>
  <c r="AK85" i="37" s="1"/>
  <c r="AJ107" i="37"/>
  <c r="V87" i="37"/>
  <c r="AY87" i="37" s="1"/>
  <c r="AY43" i="37"/>
  <c r="AR53" i="37"/>
  <c r="AR42" i="37"/>
  <c r="AX88" i="37"/>
  <c r="U141" i="37"/>
  <c r="AX85" i="37"/>
  <c r="AY85" i="37" s="1"/>
  <c r="AF86" i="37"/>
  <c r="AI88" i="37"/>
  <c r="AY114" i="37"/>
  <c r="AR148" i="37"/>
  <c r="U107" i="37"/>
  <c r="AP107" i="37" s="1"/>
  <c r="U86" i="37"/>
  <c r="AR86" i="37" s="1"/>
  <c r="AF107" i="37"/>
  <c r="AY117" i="37"/>
  <c r="AR31" i="37"/>
  <c r="AH86" i="37"/>
  <c r="AW114" i="37"/>
  <c r="AH107" i="37"/>
  <c r="U87" i="37"/>
  <c r="AR87" i="37" s="1"/>
  <c r="AJ87" i="37"/>
  <c r="AY28" i="37"/>
  <c r="AD87" i="37"/>
  <c r="AD107" i="37"/>
  <c r="AR120" i="37"/>
  <c r="V107" i="37"/>
  <c r="V86" i="37"/>
  <c r="AY86" i="37" s="1"/>
  <c r="AR171" i="37"/>
  <c r="AJ86" i="37"/>
  <c r="AH87" i="37"/>
  <c r="AW42" i="37"/>
  <c r="AR61" i="37"/>
  <c r="AW148" i="37"/>
  <c r="AY33" i="37"/>
  <c r="V144" i="37"/>
  <c r="AN213" i="37"/>
  <c r="AS215" i="37"/>
  <c r="AR133" i="37"/>
  <c r="BD114" i="37"/>
  <c r="BE114" i="37"/>
  <c r="AW117" i="37"/>
  <c r="AP114" i="37"/>
  <c r="AR114" i="37"/>
  <c r="AS114" i="37" s="1"/>
  <c r="AP56" i="37"/>
  <c r="AR139" i="37"/>
  <c r="AY53" i="37"/>
  <c r="AN238" i="37"/>
  <c r="BC237" i="37"/>
  <c r="AT238" i="37"/>
  <c r="AZ238" i="37"/>
  <c r="BA238" i="37" s="1"/>
  <c r="AR207" i="37"/>
  <c r="AP207" i="37"/>
  <c r="AR181" i="37"/>
  <c r="BA227" i="37"/>
  <c r="AY133" i="37"/>
  <c r="AY207" i="37"/>
  <c r="AP133" i="37"/>
  <c r="AK77" i="37"/>
  <c r="AL77" i="37" s="1"/>
  <c r="AM77" i="37" s="1"/>
  <c r="AK61" i="37"/>
  <c r="AL61" i="37" s="1"/>
  <c r="AM61" i="37" s="1"/>
  <c r="AJ211" i="30"/>
  <c r="AF209" i="30"/>
  <c r="AQ209" i="30" s="1"/>
  <c r="AF129" i="30"/>
  <c r="AK129" i="30" s="1"/>
  <c r="AR129" i="30" s="1"/>
  <c r="AF150" i="30"/>
  <c r="AQ150" i="30" s="1"/>
  <c r="AK16" i="37"/>
  <c r="AI16" i="26"/>
  <c r="AO16" i="26" s="1"/>
  <c r="G83" i="32" s="1"/>
  <c r="AK42" i="37"/>
  <c r="AH16" i="26"/>
  <c r="AN16" i="26" s="1"/>
  <c r="F83" i="32" s="1"/>
  <c r="AF169" i="30"/>
  <c r="AQ169" i="30" s="1"/>
  <c r="AF70" i="30"/>
  <c r="AQ70" i="30" s="1"/>
  <c r="AF165" i="30"/>
  <c r="AQ165" i="30" s="1"/>
  <c r="AM90" i="30"/>
  <c r="AJ123" i="30"/>
  <c r="AH268" i="30"/>
  <c r="AK44" i="37"/>
  <c r="AJ98" i="30"/>
  <c r="AP181" i="37"/>
  <c r="AY181" i="37"/>
  <c r="AH63" i="30"/>
  <c r="AM84" i="30"/>
  <c r="AO295" i="30"/>
  <c r="AH308" i="30"/>
  <c r="AK181" i="37"/>
  <c r="AF103" i="30"/>
  <c r="AQ103" i="30" s="1"/>
  <c r="AO66" i="30"/>
  <c r="AJ23" i="30"/>
  <c r="AF52" i="30"/>
  <c r="AQ52" i="30" s="1"/>
  <c r="AK81" i="37"/>
  <c r="AM187" i="30"/>
  <c r="AP120" i="37"/>
  <c r="AK117" i="37"/>
  <c r="AS117" i="37" s="1"/>
  <c r="AJ124" i="30"/>
  <c r="AY120" i="37"/>
  <c r="AQ260" i="30"/>
  <c r="AJ120" i="30"/>
  <c r="AJ111" i="30"/>
  <c r="AF290" i="30"/>
  <c r="AQ290" i="30" s="1"/>
  <c r="AK108" i="30"/>
  <c r="AP108" i="30" s="1"/>
  <c r="AS108" i="30" s="1"/>
  <c r="AK203" i="30"/>
  <c r="AR203" i="30" s="1"/>
  <c r="AJ17" i="30"/>
  <c r="AO111" i="30"/>
  <c r="AK162" i="37"/>
  <c r="AK123" i="37"/>
  <c r="AJ84" i="30"/>
  <c r="AO63" i="30"/>
  <c r="AF294" i="30"/>
  <c r="AQ294" i="30" s="1"/>
  <c r="AK61" i="30"/>
  <c r="AR61" i="30" s="1"/>
  <c r="AK57" i="37"/>
  <c r="AO271" i="30"/>
  <c r="AO309" i="30"/>
  <c r="AM109" i="30"/>
  <c r="AR177" i="37"/>
  <c r="AF313" i="30"/>
  <c r="AQ313" i="30" s="1"/>
  <c r="AK53" i="37"/>
  <c r="AL53" i="37" s="1"/>
  <c r="AM53" i="37" s="1"/>
  <c r="AF40" i="30"/>
  <c r="AQ40" i="30" s="1"/>
  <c r="AY121" i="37"/>
  <c r="AP33" i="37"/>
  <c r="AW43" i="37"/>
  <c r="R237" i="30"/>
  <c r="AA237" i="30" s="1"/>
  <c r="AH189" i="30"/>
  <c r="AQ321" i="30"/>
  <c r="R155" i="30"/>
  <c r="AA155" i="30" s="1"/>
  <c r="AF64" i="30"/>
  <c r="AQ64" i="30" s="1"/>
  <c r="AF122" i="30"/>
  <c r="AQ122" i="30" s="1"/>
  <c r="AO262" i="30"/>
  <c r="AR81" i="37"/>
  <c r="AW33" i="37"/>
  <c r="AK130" i="37"/>
  <c r="AL130" i="37" s="1"/>
  <c r="AM130" i="37" s="1"/>
  <c r="AR118" i="37"/>
  <c r="AH261" i="30"/>
  <c r="AK154" i="30"/>
  <c r="AR154" i="30" s="1"/>
  <c r="AJ31" i="30"/>
  <c r="AF249" i="30"/>
  <c r="R250" i="30" s="1"/>
  <c r="AA250" i="30" s="1"/>
  <c r="AR44" i="37"/>
  <c r="AP44" i="37"/>
  <c r="AQ74" i="30"/>
  <c r="AK74" i="30"/>
  <c r="AR74" i="30" s="1"/>
  <c r="AK254" i="30"/>
  <c r="AR254" i="30" s="1"/>
  <c r="AF130" i="30"/>
  <c r="AK130" i="30" s="1"/>
  <c r="AR130" i="30" s="1"/>
  <c r="AH245" i="30"/>
  <c r="AJ245" i="30"/>
  <c r="AM228" i="30"/>
  <c r="AO228" i="30"/>
  <c r="AM62" i="30"/>
  <c r="AO62" i="30"/>
  <c r="AF44" i="30"/>
  <c r="AH286" i="30"/>
  <c r="AJ286" i="30"/>
  <c r="AH290" i="30"/>
  <c r="AJ290" i="30"/>
  <c r="AH78" i="30"/>
  <c r="AJ78" i="30"/>
  <c r="AF308" i="30"/>
  <c r="AQ308" i="30" s="1"/>
  <c r="AM120" i="30"/>
  <c r="AO120" i="30"/>
  <c r="AF116" i="30"/>
  <c r="AK116" i="30" s="1"/>
  <c r="AQ266" i="30"/>
  <c r="AF16" i="30"/>
  <c r="AQ16" i="30" s="1"/>
  <c r="AO52" i="30"/>
  <c r="AM52" i="30"/>
  <c r="AH330" i="30"/>
  <c r="AJ330" i="30"/>
  <c r="AM142" i="30"/>
  <c r="AO142" i="30"/>
  <c r="AJ62" i="30"/>
  <c r="AH62" i="30"/>
  <c r="AF39" i="30"/>
  <c r="AQ39" i="30" s="1"/>
  <c r="AM286" i="30"/>
  <c r="AO286" i="30"/>
  <c r="AJ109" i="30"/>
  <c r="AQ35" i="30"/>
  <c r="AO124" i="30"/>
  <c r="AM186" i="30"/>
  <c r="AF256" i="30"/>
  <c r="AK256" i="30" s="1"/>
  <c r="AR256" i="30" s="1"/>
  <c r="AF83" i="30"/>
  <c r="AF22" i="30"/>
  <c r="AK22" i="30" s="1"/>
  <c r="AP22" i="30" s="1"/>
  <c r="AS22" i="30" s="1"/>
  <c r="AF303" i="30"/>
  <c r="AQ303" i="30" s="1"/>
  <c r="AH322" i="30"/>
  <c r="AJ322" i="30"/>
  <c r="AF317" i="30"/>
  <c r="AJ309" i="30"/>
  <c r="AF186" i="30"/>
  <c r="AQ186" i="30" s="1"/>
  <c r="AF89" i="30"/>
  <c r="AQ89" i="30" s="1"/>
  <c r="AK307" i="30"/>
  <c r="AQ307" i="30"/>
  <c r="AJ142" i="30"/>
  <c r="AM303" i="30"/>
  <c r="AO303" i="30"/>
  <c r="AO290" i="30"/>
  <c r="AF175" i="30"/>
  <c r="AQ175" i="30" s="1"/>
  <c r="AF109" i="30"/>
  <c r="AQ109" i="30" s="1"/>
  <c r="AO241" i="30"/>
  <c r="AK223" i="30"/>
  <c r="AP223" i="30" s="1"/>
  <c r="AS223" i="30" s="1"/>
  <c r="AO70" i="30"/>
  <c r="AM70" i="30"/>
  <c r="AF95" i="30"/>
  <c r="AQ95" i="30" s="1"/>
  <c r="AF90" i="30"/>
  <c r="AK90" i="30" s="1"/>
  <c r="AO25" i="30"/>
  <c r="AJ187" i="30"/>
  <c r="AK56" i="30"/>
  <c r="AP56" i="30" s="1"/>
  <c r="AS56" i="30" s="1"/>
  <c r="AO232" i="30"/>
  <c r="AF78" i="30"/>
  <c r="AQ78" i="30" s="1"/>
  <c r="AJ25" i="30"/>
  <c r="AM123" i="30"/>
  <c r="AO123" i="30"/>
  <c r="AJ266" i="30"/>
  <c r="AH266" i="30"/>
  <c r="AM209" i="30"/>
  <c r="AO209" i="30"/>
  <c r="AO16" i="30"/>
  <c r="AM16" i="30"/>
  <c r="AM236" i="30"/>
  <c r="AO236" i="30"/>
  <c r="AO313" i="30"/>
  <c r="AM313" i="30"/>
  <c r="AO48" i="30"/>
  <c r="AM48" i="30"/>
  <c r="AK148" i="37"/>
  <c r="AL148" i="37" s="1"/>
  <c r="AM148" i="37" s="1"/>
  <c r="AO267" i="30"/>
  <c r="AQ94" i="30"/>
  <c r="AF232" i="30"/>
  <c r="AQ232" i="30" s="1"/>
  <c r="U83" i="37"/>
  <c r="V83" i="37"/>
  <c r="AJ66" i="30"/>
  <c r="AH66" i="30"/>
  <c r="AY94" i="37"/>
  <c r="AW94" i="37"/>
  <c r="U41" i="37"/>
  <c r="V41" i="37"/>
  <c r="AJ209" i="30"/>
  <c r="AH209" i="30"/>
  <c r="AJ146" i="30"/>
  <c r="AH146" i="30"/>
  <c r="AF241" i="30"/>
  <c r="AR16" i="37"/>
  <c r="AP16" i="37"/>
  <c r="U132" i="37"/>
  <c r="V132" i="37"/>
  <c r="AS16" i="26"/>
  <c r="E83" i="32"/>
  <c r="AH48" i="30"/>
  <c r="AJ48" i="30"/>
  <c r="AJ249" i="30"/>
  <c r="AH249" i="30"/>
  <c r="AK133" i="37"/>
  <c r="AL133" i="37" s="1"/>
  <c r="AM133" i="37" s="1"/>
  <c r="AP31" i="37"/>
  <c r="AR122" i="37"/>
  <c r="AY180" i="37"/>
  <c r="AK189" i="37"/>
  <c r="AL189" i="37" s="1"/>
  <c r="AM189" i="37" s="1"/>
  <c r="AR39" i="37"/>
  <c r="AR202" i="37"/>
  <c r="AR91" i="37"/>
  <c r="AW91" i="37"/>
  <c r="AK203" i="37"/>
  <c r="AK33" i="37"/>
  <c r="AS33" i="37" s="1"/>
  <c r="AK185" i="37"/>
  <c r="AS185" i="37" s="1"/>
  <c r="AK139" i="37"/>
  <c r="AL139" i="37" s="1"/>
  <c r="AM139" i="37" s="1"/>
  <c r="AQ277" i="30"/>
  <c r="AF123" i="30"/>
  <c r="AH295" i="30"/>
  <c r="AH216" i="30"/>
  <c r="AF57" i="30"/>
  <c r="AQ57" i="30" s="1"/>
  <c r="AJ118" i="30"/>
  <c r="AH313" i="30"/>
  <c r="AR88" i="30"/>
  <c r="AF124" i="30"/>
  <c r="AQ124" i="30" s="1"/>
  <c r="AF282" i="30"/>
  <c r="AK282" i="30" s="1"/>
  <c r="X11" i="26"/>
  <c r="AK236" i="30"/>
  <c r="AF102" i="30"/>
  <c r="Z108" i="37"/>
  <c r="AA108" i="37" s="1"/>
  <c r="P108" i="37"/>
  <c r="N109" i="37"/>
  <c r="P109" i="37" s="1"/>
  <c r="B23" i="33"/>
  <c r="C12" i="32" s="1"/>
  <c r="AF228" i="30"/>
  <c r="U76" i="37"/>
  <c r="V76" i="37"/>
  <c r="V103" i="37"/>
  <c r="U103" i="37"/>
  <c r="AJ24" i="30"/>
  <c r="AH24" i="30"/>
  <c r="AM24" i="30"/>
  <c r="AO24" i="30"/>
  <c r="AF84" i="37"/>
  <c r="U84" i="37"/>
  <c r="V84" i="37"/>
  <c r="AH84" i="37"/>
  <c r="AJ134" i="30"/>
  <c r="AH134" i="30"/>
  <c r="AW16" i="37"/>
  <c r="AY16" i="37"/>
  <c r="W4" i="37"/>
  <c r="AM118" i="30"/>
  <c r="AO118" i="30"/>
  <c r="AM129" i="30"/>
  <c r="AO129" i="30"/>
  <c r="AF245" i="30"/>
  <c r="AM24" i="26"/>
  <c r="AI24" i="26"/>
  <c r="AO24" i="26" s="1"/>
  <c r="G85" i="32" s="1"/>
  <c r="U96" i="37"/>
  <c r="V96" i="37"/>
  <c r="AM249" i="30"/>
  <c r="AO249" i="30"/>
  <c r="AK334" i="30"/>
  <c r="AP334" i="30" s="1"/>
  <c r="AS334" i="30" s="1"/>
  <c r="AK121" i="37"/>
  <c r="AK120" i="37"/>
  <c r="AK56" i="37"/>
  <c r="AK177" i="37"/>
  <c r="AK202" i="37"/>
  <c r="AK122" i="37"/>
  <c r="AY185" i="37"/>
  <c r="AF79" i="30"/>
  <c r="AQ79" i="30" s="1"/>
  <c r="AM112" i="30"/>
  <c r="AF268" i="30"/>
  <c r="AQ268" i="30" s="1"/>
  <c r="AQ88" i="30"/>
  <c r="T106" i="37"/>
  <c r="V184" i="37"/>
  <c r="U184" i="37"/>
  <c r="W96" i="37"/>
  <c r="V195" i="37"/>
  <c r="U195" i="37"/>
  <c r="AQ84" i="37"/>
  <c r="AI84" i="37"/>
  <c r="AJ84" i="37" s="1"/>
  <c r="AX84" i="37"/>
  <c r="AH169" i="30"/>
  <c r="AJ169" i="30"/>
  <c r="U129" i="37"/>
  <c r="V129" i="37"/>
  <c r="AJ16" i="30"/>
  <c r="AH16" i="30"/>
  <c r="AO199" i="30"/>
  <c r="AM199" i="30"/>
  <c r="AJ161" i="30"/>
  <c r="AH161" i="30"/>
  <c r="F84" i="32"/>
  <c r="E84" i="32"/>
  <c r="AO20" i="26"/>
  <c r="G84" i="32" s="1"/>
  <c r="AS20" i="26"/>
  <c r="AF272" i="30"/>
  <c r="AQ272" i="30" s="1"/>
  <c r="AF211" i="30"/>
  <c r="AQ211" i="30" s="1"/>
  <c r="AF310" i="30"/>
  <c r="AF120" i="30"/>
  <c r="AQ120" i="30" s="1"/>
  <c r="AF267" i="30"/>
  <c r="AQ267" i="30" s="1"/>
  <c r="AF66" i="30"/>
  <c r="AQ66" i="30" s="1"/>
  <c r="AF269" i="30"/>
  <c r="AK269" i="30" s="1"/>
  <c r="AP269" i="30" s="1"/>
  <c r="AS269" i="30" s="1"/>
  <c r="AF117" i="30"/>
  <c r="AQ117" i="30" s="1"/>
  <c r="AF311" i="30"/>
  <c r="AQ311" i="30" s="1"/>
  <c r="AF299" i="30"/>
  <c r="AQ299" i="30" s="1"/>
  <c r="AF110" i="30"/>
  <c r="AQ110" i="30" s="1"/>
  <c r="AF23" i="30"/>
  <c r="AQ23" i="30" s="1"/>
  <c r="AF219" i="30"/>
  <c r="AQ219" i="30" s="1"/>
  <c r="AF187" i="30"/>
  <c r="AQ187" i="30" s="1"/>
  <c r="AF189" i="30"/>
  <c r="AF214" i="30"/>
  <c r="AQ214" i="30" s="1"/>
  <c r="AF312" i="30"/>
  <c r="AK312" i="30" s="1"/>
  <c r="AP312" i="30" s="1"/>
  <c r="AS312" i="30" s="1"/>
  <c r="AF218" i="30"/>
  <c r="AQ218" i="30" s="1"/>
  <c r="AF271" i="30"/>
  <c r="AK271" i="30" s="1"/>
  <c r="AF255" i="30"/>
  <c r="AQ255" i="30" s="1"/>
  <c r="AF213" i="30"/>
  <c r="AK213" i="30" s="1"/>
  <c r="AR213" i="30" s="1"/>
  <c r="AF121" i="30"/>
  <c r="AQ121" i="30" s="1"/>
  <c r="AF125" i="30"/>
  <c r="AQ125" i="30" s="1"/>
  <c r="AF261" i="30"/>
  <c r="AQ261" i="30" s="1"/>
  <c r="AF322" i="30"/>
  <c r="AQ322" i="30" s="1"/>
  <c r="AF63" i="30"/>
  <c r="AQ63" i="30" s="1"/>
  <c r="AF97" i="30"/>
  <c r="AQ97" i="30" s="1"/>
  <c r="AF84" i="30"/>
  <c r="AQ84" i="30" s="1"/>
  <c r="AR321" i="30"/>
  <c r="AF217" i="30"/>
  <c r="AQ217" i="30" s="1"/>
  <c r="AF171" i="30"/>
  <c r="AQ171" i="30" s="1"/>
  <c r="AF180" i="30"/>
  <c r="AK180" i="30" s="1"/>
  <c r="AF112" i="30"/>
  <c r="AF309" i="30"/>
  <c r="AF119" i="30"/>
  <c r="AK119" i="30" s="1"/>
  <c r="AR119" i="30" s="1"/>
  <c r="AF215" i="30"/>
  <c r="AQ215" i="30" s="1"/>
  <c r="AF24" i="30"/>
  <c r="AQ24" i="30" s="1"/>
  <c r="AF194" i="30"/>
  <c r="AQ194" i="30" s="1"/>
  <c r="AF118" i="30"/>
  <c r="AQ118" i="30" s="1"/>
  <c r="AF98" i="30"/>
  <c r="AQ98" i="30" s="1"/>
  <c r="AF295" i="30"/>
  <c r="AF17" i="30"/>
  <c r="AF216" i="30"/>
  <c r="AQ216" i="30" s="1"/>
  <c r="AF31" i="30"/>
  <c r="AQ31" i="30" s="1"/>
  <c r="AF138" i="30"/>
  <c r="AQ138" i="30" s="1"/>
  <c r="AF65" i="30"/>
  <c r="AK65" i="30" s="1"/>
  <c r="AF185" i="30"/>
  <c r="AQ185" i="30" s="1"/>
  <c r="AF111" i="30"/>
  <c r="AQ111" i="30" s="1"/>
  <c r="AF96" i="30"/>
  <c r="AF25" i="30"/>
  <c r="AQ25" i="30" s="1"/>
  <c r="AF30" i="30"/>
  <c r="AF188" i="30"/>
  <c r="AQ188" i="30" s="1"/>
  <c r="AF195" i="30"/>
  <c r="AR260" i="30"/>
  <c r="AP260" i="30"/>
  <c r="AS260" i="30" s="1"/>
  <c r="AF262" i="30"/>
  <c r="AQ262" i="30" s="1"/>
  <c r="AF212" i="30"/>
  <c r="AF270" i="30"/>
  <c r="AF170" i="30"/>
  <c r="AF224" i="30"/>
  <c r="AF156" i="30"/>
  <c r="AY177" i="37"/>
  <c r="AW177" i="37"/>
  <c r="AP42" i="37"/>
  <c r="AK161" i="37"/>
  <c r="AK201" i="37"/>
  <c r="AK80" i="37"/>
  <c r="AK204" i="37"/>
  <c r="AK207" i="37"/>
  <c r="AL207" i="37" s="1"/>
  <c r="AM207" i="37" s="1"/>
  <c r="AN207" i="37" s="1"/>
  <c r="AP171" i="37"/>
  <c r="AK43" i="37"/>
  <c r="AS43" i="37" s="1"/>
  <c r="AK58" i="37"/>
  <c r="AR180" i="37"/>
  <c r="AW202" i="37"/>
  <c r="AW122" i="37"/>
  <c r="AY122" i="37"/>
  <c r="AK32" i="37"/>
  <c r="AK127" i="37"/>
  <c r="AL127" i="37" s="1"/>
  <c r="AM127" i="37" s="1"/>
  <c r="AN127" i="37" s="1"/>
  <c r="AK176" i="37"/>
  <c r="AS176" i="37" s="1"/>
  <c r="AR32" i="37"/>
  <c r="AP32" i="37"/>
  <c r="AY77" i="37"/>
  <c r="AW77" i="37"/>
  <c r="AR203" i="37"/>
  <c r="AP203" i="37"/>
  <c r="AP161" i="37"/>
  <c r="AR161" i="37"/>
  <c r="AY32" i="37"/>
  <c r="AW32" i="37"/>
  <c r="AK157" i="37"/>
  <c r="AS157" i="37" s="1"/>
  <c r="AK180" i="37"/>
  <c r="AY139" i="37"/>
  <c r="AK48" i="37"/>
  <c r="AK31" i="37"/>
  <c r="AK39" i="37"/>
  <c r="AP58" i="37"/>
  <c r="AR58" i="37"/>
  <c r="AK74" i="37"/>
  <c r="AS74" i="37" s="1"/>
  <c r="AK91" i="37"/>
  <c r="AL91" i="37" s="1"/>
  <c r="AM91" i="37" s="1"/>
  <c r="AK171" i="37"/>
  <c r="AW44" i="37"/>
  <c r="AY44" i="37"/>
  <c r="AP130" i="37"/>
  <c r="AR130" i="37"/>
  <c r="AR123" i="37"/>
  <c r="AP123" i="37"/>
  <c r="AP112" i="37"/>
  <c r="AR112" i="37"/>
  <c r="AY81" i="37"/>
  <c r="AW81" i="37"/>
  <c r="AY123" i="37"/>
  <c r="AW123" i="37"/>
  <c r="AK196" i="37"/>
  <c r="AL196" i="37" s="1"/>
  <c r="AM196" i="37" s="1"/>
  <c r="AK136" i="37"/>
  <c r="AL136" i="37" s="1"/>
  <c r="AM136" i="37" s="1"/>
  <c r="AP148" i="37"/>
  <c r="AY204" i="37"/>
  <c r="AK118" i="37"/>
  <c r="AK50" i="37"/>
  <c r="AK145" i="37"/>
  <c r="AL145" i="37" s="1"/>
  <c r="AM145" i="37" s="1"/>
  <c r="AK94" i="37"/>
  <c r="AL94" i="37" s="1"/>
  <c r="AM94" i="37" s="1"/>
  <c r="BC94" i="37" s="1"/>
  <c r="AY145" i="37"/>
  <c r="AK28" i="37"/>
  <c r="AL28" i="37" s="1"/>
  <c r="AM28" i="37" s="1"/>
  <c r="AK104" i="37"/>
  <c r="AL104" i="37" s="1"/>
  <c r="AM104" i="37" s="1"/>
  <c r="AP57" i="37"/>
  <c r="AR57" i="37"/>
  <c r="AR162" i="37"/>
  <c r="AP162" i="37"/>
  <c r="AW171" i="37"/>
  <c r="AY171" i="37"/>
  <c r="AY80" i="37"/>
  <c r="AW80" i="37"/>
  <c r="AR204" i="37"/>
  <c r="AP204" i="37"/>
  <c r="AW28" i="37"/>
  <c r="AR136" i="37"/>
  <c r="AW31" i="37"/>
  <c r="AY31" i="37"/>
  <c r="AK152" i="37"/>
  <c r="AY56" i="37"/>
  <c r="AW56" i="37"/>
  <c r="AY189" i="37"/>
  <c r="AW189" i="37"/>
  <c r="AY48" i="37"/>
  <c r="AW48" i="37"/>
  <c r="AR189" i="37"/>
  <c r="AP189" i="37"/>
  <c r="AR104" i="37"/>
  <c r="AP104" i="37"/>
  <c r="AW74" i="37"/>
  <c r="AY74" i="37"/>
  <c r="AY192" i="37"/>
  <c r="AW192" i="37"/>
  <c r="AY104" i="37"/>
  <c r="AW104" i="37"/>
  <c r="AY176" i="37"/>
  <c r="AW176" i="37"/>
  <c r="AR28" i="37"/>
  <c r="AP28" i="37"/>
  <c r="AR48" i="37"/>
  <c r="AP48" i="37"/>
  <c r="AW57" i="37"/>
  <c r="AY57" i="37"/>
  <c r="AP91" i="37"/>
  <c r="AK112" i="37"/>
  <c r="AL112" i="37" s="1"/>
  <c r="AM112" i="37" s="1"/>
  <c r="AK192" i="37"/>
  <c r="T193" i="37" s="1"/>
  <c r="AK182" i="37"/>
  <c r="AY136" i="37"/>
  <c r="AW136" i="37"/>
  <c r="AR127" i="37"/>
  <c r="AP127" i="37"/>
  <c r="AY118" i="37"/>
  <c r="AW118" i="37"/>
  <c r="AY39" i="37"/>
  <c r="AW39" i="37"/>
  <c r="AK17" i="37"/>
  <c r="AY17" i="37"/>
  <c r="AW17" i="37"/>
  <c r="AK18" i="37"/>
  <c r="T19" i="37" s="1"/>
  <c r="AP17" i="37"/>
  <c r="AR17" i="37"/>
  <c r="AR18" i="37"/>
  <c r="AP18" i="37"/>
  <c r="AY18" i="37"/>
  <c r="AW18" i="37"/>
  <c r="AY50" i="37"/>
  <c r="AW50" i="37"/>
  <c r="AP101" i="37"/>
  <c r="AR101" i="37"/>
  <c r="AY25" i="37"/>
  <c r="AW25" i="37"/>
  <c r="AK36" i="37"/>
  <c r="AP201" i="37"/>
  <c r="AR201" i="37"/>
  <c r="AP85" i="37"/>
  <c r="AR85" i="37"/>
  <c r="AW196" i="37"/>
  <c r="AY196" i="37"/>
  <c r="AK22" i="37"/>
  <c r="AW49" i="37"/>
  <c r="AY49" i="37"/>
  <c r="AK49" i="37"/>
  <c r="AY119" i="37"/>
  <c r="AW119" i="37"/>
  <c r="AK119" i="37"/>
  <c r="AK142" i="37"/>
  <c r="AW167" i="37"/>
  <c r="AY167" i="37"/>
  <c r="AW47" i="37"/>
  <c r="AY47" i="37"/>
  <c r="AK167" i="37"/>
  <c r="AP47" i="37"/>
  <c r="AR47" i="37"/>
  <c r="AR97" i="37"/>
  <c r="AP97" i="37"/>
  <c r="AY97" i="37"/>
  <c r="AW97" i="37"/>
  <c r="AP25" i="37"/>
  <c r="AR25" i="37"/>
  <c r="AR36" i="37"/>
  <c r="AP36" i="37"/>
  <c r="AR121" i="37"/>
  <c r="AP121" i="37"/>
  <c r="AR196" i="37"/>
  <c r="AP196" i="37"/>
  <c r="AR22" i="37"/>
  <c r="AP22" i="37"/>
  <c r="AK170" i="37"/>
  <c r="AP49" i="37"/>
  <c r="AR49" i="37"/>
  <c r="AP182" i="37"/>
  <c r="AR182" i="37"/>
  <c r="AY182" i="37"/>
  <c r="AW182" i="37"/>
  <c r="AY101" i="37"/>
  <c r="AW101" i="37"/>
  <c r="AR119" i="37"/>
  <c r="AP119" i="37"/>
  <c r="AY142" i="37"/>
  <c r="AW142" i="37"/>
  <c r="AK47" i="37"/>
  <c r="AK97" i="37"/>
  <c r="AY157" i="37"/>
  <c r="AW157" i="37"/>
  <c r="AK25" i="37"/>
  <c r="AW36" i="37"/>
  <c r="AY36" i="37"/>
  <c r="AY22" i="37"/>
  <c r="AW22" i="37"/>
  <c r="AP50" i="37"/>
  <c r="AR50" i="37"/>
  <c r="AK101" i="37"/>
  <c r="AP142" i="37"/>
  <c r="AR142" i="37"/>
  <c r="AH11" i="26" l="1"/>
  <c r="AN11" i="26" s="1"/>
  <c r="F82" i="32" s="1"/>
  <c r="F88" i="32" s="1"/>
  <c r="AP88" i="30"/>
  <c r="AS88" i="30" s="1"/>
  <c r="AK142" i="30"/>
  <c r="AK281" i="30"/>
  <c r="AR281" i="30" s="1"/>
  <c r="AK326" i="30"/>
  <c r="AR326" i="30" s="1"/>
  <c r="AK199" i="30"/>
  <c r="AR199" i="30" s="1"/>
  <c r="AR35" i="30"/>
  <c r="AP35" i="30"/>
  <c r="AS35" i="30" s="1"/>
  <c r="AP277" i="30"/>
  <c r="AS277" i="30" s="1"/>
  <c r="AK70" i="30"/>
  <c r="AR70" i="30" s="1"/>
  <c r="AK29" i="30"/>
  <c r="AP29" i="30" s="1"/>
  <c r="AS29" i="30" s="1"/>
  <c r="AK193" i="30"/>
  <c r="AR193" i="30" s="1"/>
  <c r="AK48" i="30"/>
  <c r="AR48" i="30" s="1"/>
  <c r="AK208" i="30"/>
  <c r="AK210" i="30"/>
  <c r="AK207" i="30"/>
  <c r="AP207" i="30" s="1"/>
  <c r="AS207" i="30" s="1"/>
  <c r="AK330" i="30"/>
  <c r="AP330" i="30" s="1"/>
  <c r="AS330" i="30" s="1"/>
  <c r="AK179" i="30"/>
  <c r="AR179" i="30" s="1"/>
  <c r="AK310" i="30"/>
  <c r="AK146" i="30"/>
  <c r="AK184" i="30"/>
  <c r="AP184" i="30" s="1"/>
  <c r="AS184" i="30" s="1"/>
  <c r="AI11" i="26"/>
  <c r="AO11" i="26" s="1"/>
  <c r="G82" i="32" s="1"/>
  <c r="G88" i="32" s="1"/>
  <c r="AM11" i="26"/>
  <c r="AR107" i="37"/>
  <c r="AS152" i="37"/>
  <c r="AZ152" i="37" s="1"/>
  <c r="AK86" i="37"/>
  <c r="AS86" i="37" s="1"/>
  <c r="AW87" i="37"/>
  <c r="AS171" i="37"/>
  <c r="AZ171" i="37" s="1"/>
  <c r="AS77" i="37"/>
  <c r="AZ77" i="37" s="1"/>
  <c r="BA77" i="37" s="1"/>
  <c r="AP86" i="37"/>
  <c r="AK87" i="37"/>
  <c r="AS87" i="37" s="1"/>
  <c r="AZ43" i="37"/>
  <c r="AK107" i="37"/>
  <c r="T108" i="37" s="1"/>
  <c r="U108" i="37" s="1"/>
  <c r="AZ117" i="37"/>
  <c r="AW86" i="37"/>
  <c r="AP87" i="37"/>
  <c r="AW107" i="37"/>
  <c r="AY107" i="37"/>
  <c r="AS16" i="37"/>
  <c r="AZ16" i="37" s="1"/>
  <c r="AS61" i="37"/>
  <c r="AT61" i="37" s="1"/>
  <c r="AS56" i="37"/>
  <c r="AZ56" i="37" s="1"/>
  <c r="AT213" i="37"/>
  <c r="AU213" i="37" s="1"/>
  <c r="BD213" i="37" s="1"/>
  <c r="AZ215" i="37"/>
  <c r="BA213" i="37" s="1"/>
  <c r="BB213" i="37" s="1"/>
  <c r="BE213" i="37" s="1"/>
  <c r="AT114" i="37"/>
  <c r="AU114" i="37" s="1"/>
  <c r="AZ114" i="37"/>
  <c r="BA114" i="37" s="1"/>
  <c r="BB114" i="37" s="1"/>
  <c r="AS39" i="37"/>
  <c r="AT39" i="37" s="1"/>
  <c r="BB238" i="37"/>
  <c r="BE237" i="37" s="1"/>
  <c r="AU238" i="37"/>
  <c r="BD237" i="37" s="1"/>
  <c r="BB227" i="37"/>
  <c r="BE227" i="37" s="1"/>
  <c r="BD227" i="37"/>
  <c r="AQ129" i="30"/>
  <c r="AP129" i="30"/>
  <c r="AS129" i="30" s="1"/>
  <c r="AK150" i="30"/>
  <c r="AP150" i="30" s="1"/>
  <c r="AS150" i="30" s="1"/>
  <c r="AP193" i="30"/>
  <c r="AS193" i="30" s="1"/>
  <c r="AS42" i="37"/>
  <c r="AZ42" i="37" s="1"/>
  <c r="AR207" i="30"/>
  <c r="AS31" i="37"/>
  <c r="AZ31" i="37" s="1"/>
  <c r="AP90" i="30"/>
  <c r="AS90" i="30" s="1"/>
  <c r="AP94" i="30"/>
  <c r="AS94" i="30" s="1"/>
  <c r="AK165" i="30"/>
  <c r="AP165" i="30" s="1"/>
  <c r="AS165" i="30" s="1"/>
  <c r="AK266" i="30"/>
  <c r="AR266" i="30" s="1"/>
  <c r="AP142" i="30"/>
  <c r="AS142" i="30" s="1"/>
  <c r="AK286" i="30"/>
  <c r="AR286" i="30" s="1"/>
  <c r="AS192" i="37"/>
  <c r="AZ192" i="37" s="1"/>
  <c r="AK84" i="37"/>
  <c r="AS181" i="37"/>
  <c r="AZ181" i="37" s="1"/>
  <c r="AK123" i="30"/>
  <c r="AR123" i="30" s="1"/>
  <c r="AK103" i="30"/>
  <c r="AP103" i="30" s="1"/>
  <c r="AS103" i="30" s="1"/>
  <c r="AP70" i="30"/>
  <c r="AS70" i="30" s="1"/>
  <c r="AK52" i="30"/>
  <c r="AR52" i="30" s="1"/>
  <c r="AP61" i="30"/>
  <c r="AS61" i="30" s="1"/>
  <c r="AK290" i="30"/>
  <c r="AR290" i="30" s="1"/>
  <c r="AR29" i="30"/>
  <c r="AS81" i="37"/>
  <c r="AZ81" i="37" s="1"/>
  <c r="T186" i="37"/>
  <c r="AJ186" i="37" s="1"/>
  <c r="AL80" i="37"/>
  <c r="AM80" i="37" s="1"/>
  <c r="BC80" i="37" s="1"/>
  <c r="AR108" i="30"/>
  <c r="AS120" i="37"/>
  <c r="AZ120" i="37" s="1"/>
  <c r="AQ123" i="30"/>
  <c r="AS189" i="37"/>
  <c r="AT189" i="37" s="1"/>
  <c r="AN94" i="37"/>
  <c r="AS139" i="37"/>
  <c r="AT139" i="37" s="1"/>
  <c r="AR223" i="30"/>
  <c r="AQ90" i="30"/>
  <c r="T172" i="37"/>
  <c r="AH172" i="37" s="1"/>
  <c r="AK138" i="30"/>
  <c r="AR138" i="30" s="1"/>
  <c r="AK17" i="30"/>
  <c r="AR17" i="30" s="1"/>
  <c r="AK186" i="30"/>
  <c r="AP186" i="30" s="1"/>
  <c r="AS186" i="30" s="1"/>
  <c r="AS44" i="37"/>
  <c r="AS53" i="37"/>
  <c r="AT53" i="37" s="1"/>
  <c r="AS162" i="37"/>
  <c r="AZ162" i="37" s="1"/>
  <c r="AP203" i="30"/>
  <c r="AS203" i="30" s="1"/>
  <c r="AP281" i="30"/>
  <c r="AS281" i="30" s="1"/>
  <c r="AS85" i="37"/>
  <c r="AZ85" i="37" s="1"/>
  <c r="S155" i="30"/>
  <c r="AH155" i="30" s="1"/>
  <c r="AE155" i="30"/>
  <c r="AP154" i="30"/>
  <c r="T155" i="30" s="1"/>
  <c r="AO155" i="30" s="1"/>
  <c r="AK122" i="30"/>
  <c r="AR122" i="30" s="1"/>
  <c r="AQ130" i="30"/>
  <c r="AQ22" i="30"/>
  <c r="AK109" i="30"/>
  <c r="AP109" i="30" s="1"/>
  <c r="AS109" i="30" s="1"/>
  <c r="AS57" i="37"/>
  <c r="AS58" i="37"/>
  <c r="AZ58" i="37" s="1"/>
  <c r="AL161" i="37"/>
  <c r="AM161" i="37" s="1"/>
  <c r="AN161" i="37" s="1"/>
  <c r="AQ310" i="30"/>
  <c r="AC155" i="30"/>
  <c r="AS177" i="37"/>
  <c r="AZ177" i="37" s="1"/>
  <c r="AZ33" i="37"/>
  <c r="AK294" i="30"/>
  <c r="AR294" i="30" s="1"/>
  <c r="BC139" i="37"/>
  <c r="AN139" i="37"/>
  <c r="BC207" i="37"/>
  <c r="AR56" i="30"/>
  <c r="AK64" i="30"/>
  <c r="AP64" i="30" s="1"/>
  <c r="AS64" i="30" s="1"/>
  <c r="AP199" i="30"/>
  <c r="AS199" i="30" s="1"/>
  <c r="AE250" i="30"/>
  <c r="AS50" i="37"/>
  <c r="AS201" i="37"/>
  <c r="AZ201" i="37" s="1"/>
  <c r="AS133" i="37"/>
  <c r="AZ133" i="37" s="1"/>
  <c r="BA133" i="37" s="1"/>
  <c r="T158" i="37"/>
  <c r="V158" i="37" s="1"/>
  <c r="AS118" i="37"/>
  <c r="AZ118" i="37" s="1"/>
  <c r="AE237" i="30"/>
  <c r="AQ256" i="30"/>
  <c r="T149" i="37"/>
  <c r="AH149" i="37" s="1"/>
  <c r="AZ48" i="37"/>
  <c r="AS145" i="37"/>
  <c r="AZ145" i="37" s="1"/>
  <c r="BA145" i="37" s="1"/>
  <c r="AC237" i="30"/>
  <c r="AP179" i="30"/>
  <c r="AS179" i="30" s="1"/>
  <c r="AK40" i="30"/>
  <c r="AP74" i="30"/>
  <c r="AS74" i="30" s="1"/>
  <c r="AQ249" i="30"/>
  <c r="AL56" i="37"/>
  <c r="AM56" i="37" s="1"/>
  <c r="AN56" i="37" s="1"/>
  <c r="AS148" i="37"/>
  <c r="AZ148" i="37" s="1"/>
  <c r="BA148" i="37" s="1"/>
  <c r="AS80" i="37"/>
  <c r="AZ80" i="37" s="1"/>
  <c r="AS48" i="37"/>
  <c r="AS130" i="37"/>
  <c r="AL42" i="37"/>
  <c r="AM42" i="37" s="1"/>
  <c r="AP256" i="30"/>
  <c r="AS256" i="30" s="1"/>
  <c r="AK313" i="30"/>
  <c r="AP313" i="30" s="1"/>
  <c r="AS313" i="30" s="1"/>
  <c r="AK189" i="30"/>
  <c r="AP189" i="30" s="1"/>
  <c r="AS189" i="30" s="1"/>
  <c r="AS122" i="37"/>
  <c r="AZ122" i="37" s="1"/>
  <c r="AL176" i="37"/>
  <c r="AM176" i="37" s="1"/>
  <c r="BC176" i="37" s="1"/>
  <c r="AS202" i="37"/>
  <c r="AZ202" i="37" s="1"/>
  <c r="AC250" i="30"/>
  <c r="AQ44" i="30"/>
  <c r="AK44" i="30"/>
  <c r="AR142" i="30"/>
  <c r="AK308" i="30"/>
  <c r="AQ116" i="30"/>
  <c r="AQ317" i="30"/>
  <c r="AK317" i="30"/>
  <c r="AK89" i="30"/>
  <c r="AR89" i="30" s="1"/>
  <c r="AP254" i="30"/>
  <c r="AS254" i="30" s="1"/>
  <c r="AK268" i="30"/>
  <c r="AP268" i="30" s="1"/>
  <c r="AS268" i="30" s="1"/>
  <c r="AQ83" i="30"/>
  <c r="AK83" i="30"/>
  <c r="AK62" i="30"/>
  <c r="AK78" i="30"/>
  <c r="AK95" i="30"/>
  <c r="AR95" i="30" s="1"/>
  <c r="AR334" i="30"/>
  <c r="AQ189" i="30"/>
  <c r="AK57" i="30"/>
  <c r="AR57" i="30" s="1"/>
  <c r="AQ312" i="30"/>
  <c r="AK161" i="30"/>
  <c r="AP161" i="30" s="1"/>
  <c r="AS161" i="30" s="1"/>
  <c r="AK16" i="30"/>
  <c r="AK39" i="30"/>
  <c r="AR39" i="30" s="1"/>
  <c r="AK209" i="30"/>
  <c r="AR307" i="30"/>
  <c r="AP307" i="30"/>
  <c r="AS307" i="30" s="1"/>
  <c r="AK175" i="30"/>
  <c r="AK303" i="30"/>
  <c r="AP282" i="30"/>
  <c r="AS282" i="30" s="1"/>
  <c r="AR282" i="30"/>
  <c r="AW84" i="37"/>
  <c r="AY84" i="37"/>
  <c r="AI108" i="37"/>
  <c r="AX108" i="37"/>
  <c r="AQ108" i="37"/>
  <c r="AL31" i="37"/>
  <c r="AM31" i="37" s="1"/>
  <c r="AN31" i="37" s="1"/>
  <c r="AS161" i="37"/>
  <c r="AS180" i="37"/>
  <c r="AZ180" i="37" s="1"/>
  <c r="AK272" i="30"/>
  <c r="AR272" i="30" s="1"/>
  <c r="AK102" i="30"/>
  <c r="AQ102" i="30"/>
  <c r="R104" i="30"/>
  <c r="AK249" i="30"/>
  <c r="AS94" i="37"/>
  <c r="AZ94" i="37" s="1"/>
  <c r="BA94" i="37" s="1"/>
  <c r="AL39" i="37"/>
  <c r="AM39" i="37" s="1"/>
  <c r="AN39" i="37" s="1"/>
  <c r="AS204" i="37"/>
  <c r="AZ204" i="37" s="1"/>
  <c r="AL201" i="37"/>
  <c r="AM201" i="37" s="1"/>
  <c r="BC201" i="37" s="1"/>
  <c r="AR22" i="30"/>
  <c r="AQ213" i="30"/>
  <c r="AK124" i="30"/>
  <c r="AR124" i="30" s="1"/>
  <c r="AQ269" i="30"/>
  <c r="AK66" i="30"/>
  <c r="AQ282" i="30"/>
  <c r="AK134" i="30"/>
  <c r="S237" i="30"/>
  <c r="AP236" i="30"/>
  <c r="AR236" i="30"/>
  <c r="AK232" i="30"/>
  <c r="U106" i="37"/>
  <c r="V106" i="37"/>
  <c r="AQ245" i="30"/>
  <c r="AK245" i="30"/>
  <c r="AQ228" i="30"/>
  <c r="AK228" i="30"/>
  <c r="AK79" i="30"/>
  <c r="AP48" i="30"/>
  <c r="AS48" i="30" s="1"/>
  <c r="AR84" i="37"/>
  <c r="AP84" i="37"/>
  <c r="AR146" i="30"/>
  <c r="AP146" i="30"/>
  <c r="AS146" i="30" s="1"/>
  <c r="AS136" i="37"/>
  <c r="AZ136" i="37" s="1"/>
  <c r="BA136" i="37" s="1"/>
  <c r="AS17" i="37"/>
  <c r="AZ17" i="37" s="1"/>
  <c r="AS203" i="37"/>
  <c r="AZ203" i="37" s="1"/>
  <c r="AK110" i="30"/>
  <c r="AP110" i="30" s="1"/>
  <c r="AS110" i="30" s="1"/>
  <c r="AK117" i="30"/>
  <c r="AK169" i="30"/>
  <c r="W106" i="37"/>
  <c r="W3" i="37" s="1"/>
  <c r="E85" i="32"/>
  <c r="AS24" i="26"/>
  <c r="AQ241" i="30"/>
  <c r="AK241" i="30"/>
  <c r="AP116" i="30"/>
  <c r="AS116" i="30" s="1"/>
  <c r="AR116" i="30"/>
  <c r="AK120" i="30"/>
  <c r="AR120" i="30" s="1"/>
  <c r="AK211" i="30"/>
  <c r="AK121" i="30"/>
  <c r="AR121" i="30" s="1"/>
  <c r="AK111" i="30"/>
  <c r="AR111" i="30" s="1"/>
  <c r="AQ17" i="30"/>
  <c r="AK214" i="30"/>
  <c r="AP214" i="30" s="1"/>
  <c r="AS214" i="30" s="1"/>
  <c r="AQ271" i="30"/>
  <c r="AK267" i="30"/>
  <c r="AR267" i="30" s="1"/>
  <c r="AR90" i="30"/>
  <c r="AK194" i="30"/>
  <c r="AR194" i="30" s="1"/>
  <c r="AK261" i="30"/>
  <c r="AP261" i="30" s="1"/>
  <c r="AS261" i="30" s="1"/>
  <c r="AK24" i="30"/>
  <c r="AP24" i="30" s="1"/>
  <c r="AS24" i="30" s="1"/>
  <c r="AK23" i="30"/>
  <c r="AP23" i="30" s="1"/>
  <c r="AS23" i="30" s="1"/>
  <c r="AK125" i="30"/>
  <c r="AR125" i="30" s="1"/>
  <c r="AK219" i="30"/>
  <c r="AP219" i="30" s="1"/>
  <c r="AS219" i="30" s="1"/>
  <c r="AR269" i="30"/>
  <c r="AK299" i="30"/>
  <c r="AP299" i="30" s="1"/>
  <c r="AS299" i="30" s="1"/>
  <c r="AR312" i="30"/>
  <c r="AK63" i="30"/>
  <c r="AR63" i="30" s="1"/>
  <c r="AK218" i="30"/>
  <c r="AP218" i="30" s="1"/>
  <c r="AS218" i="30" s="1"/>
  <c r="AK215" i="30"/>
  <c r="AR215" i="30" s="1"/>
  <c r="AK217" i="30"/>
  <c r="AP217" i="30" s="1"/>
  <c r="AS217" i="30" s="1"/>
  <c r="AK187" i="30"/>
  <c r="AP187" i="30" s="1"/>
  <c r="AS187" i="30" s="1"/>
  <c r="AQ65" i="30"/>
  <c r="AK311" i="30"/>
  <c r="AP311" i="30" s="1"/>
  <c r="AS311" i="30" s="1"/>
  <c r="AP213" i="30"/>
  <c r="AS213" i="30" s="1"/>
  <c r="AQ180" i="30"/>
  <c r="AP130" i="30"/>
  <c r="AS130" i="30" s="1"/>
  <c r="AQ119" i="30"/>
  <c r="AK262" i="30"/>
  <c r="AR262" i="30" s="1"/>
  <c r="AK25" i="30"/>
  <c r="AP25" i="30" s="1"/>
  <c r="AS25" i="30" s="1"/>
  <c r="AP119" i="30"/>
  <c r="AS119" i="30" s="1"/>
  <c r="AK322" i="30"/>
  <c r="AR322" i="30" s="1"/>
  <c r="AK171" i="30"/>
  <c r="AP271" i="30"/>
  <c r="AS271" i="30" s="1"/>
  <c r="AR271" i="30"/>
  <c r="AK84" i="30"/>
  <c r="AP84" i="30" s="1"/>
  <c r="AS84" i="30" s="1"/>
  <c r="AK188" i="30"/>
  <c r="AR188" i="30" s="1"/>
  <c r="AK255" i="30"/>
  <c r="AK98" i="30"/>
  <c r="AR98" i="30" s="1"/>
  <c r="AK31" i="30"/>
  <c r="AR31" i="30" s="1"/>
  <c r="AK97" i="30"/>
  <c r="AK118" i="30"/>
  <c r="AP118" i="30" s="1"/>
  <c r="AS118" i="30" s="1"/>
  <c r="AK112" i="30"/>
  <c r="AQ112" i="30"/>
  <c r="AK309" i="30"/>
  <c r="AQ309" i="30"/>
  <c r="AQ195" i="30"/>
  <c r="AK195" i="30"/>
  <c r="AK30" i="30"/>
  <c r="AQ30" i="30"/>
  <c r="R18" i="30"/>
  <c r="AC18" i="30" s="1"/>
  <c r="AK185" i="30"/>
  <c r="AP185" i="30" s="1"/>
  <c r="AS185" i="30" s="1"/>
  <c r="AK216" i="30"/>
  <c r="AR216" i="30" s="1"/>
  <c r="AQ96" i="30"/>
  <c r="AK96" i="30"/>
  <c r="AQ295" i="30"/>
  <c r="R296" i="30"/>
  <c r="AK295" i="30"/>
  <c r="AR310" i="30"/>
  <c r="AP310" i="30"/>
  <c r="AS310" i="30" s="1"/>
  <c r="AQ212" i="30"/>
  <c r="AK212" i="30"/>
  <c r="AQ156" i="30"/>
  <c r="R157" i="30"/>
  <c r="AQ270" i="30"/>
  <c r="AK270" i="30"/>
  <c r="R273" i="30"/>
  <c r="AK156" i="30"/>
  <c r="AR65" i="30"/>
  <c r="AP65" i="30"/>
  <c r="AQ224" i="30"/>
  <c r="AK224" i="30"/>
  <c r="AQ170" i="30"/>
  <c r="AK170" i="30"/>
  <c r="AP180" i="30"/>
  <c r="AS180" i="30" s="1"/>
  <c r="AR180" i="30"/>
  <c r="AS91" i="37"/>
  <c r="AZ91" i="37" s="1"/>
  <c r="BA91" i="37" s="1"/>
  <c r="AS207" i="37"/>
  <c r="AS32" i="37"/>
  <c r="AZ32" i="37" s="1"/>
  <c r="AS127" i="37"/>
  <c r="AZ127" i="37" s="1"/>
  <c r="BA127" i="37" s="1"/>
  <c r="BB127" i="37" s="1"/>
  <c r="BE127" i="37" s="1"/>
  <c r="AL74" i="37"/>
  <c r="AM74" i="37" s="1"/>
  <c r="AN74" i="37" s="1"/>
  <c r="AS112" i="37"/>
  <c r="AZ112" i="37" s="1"/>
  <c r="BA112" i="37" s="1"/>
  <c r="AL180" i="37"/>
  <c r="AM180" i="37" s="1"/>
  <c r="BC180" i="37" s="1"/>
  <c r="AZ50" i="37"/>
  <c r="AS123" i="37"/>
  <c r="AZ123" i="37" s="1"/>
  <c r="AS28" i="37"/>
  <c r="AZ28" i="37" s="1"/>
  <c r="BA28" i="37" s="1"/>
  <c r="BC104" i="37"/>
  <c r="AN104" i="37"/>
  <c r="AN28" i="37"/>
  <c r="BC28" i="37"/>
  <c r="AS196" i="37"/>
  <c r="AT196" i="37" s="1"/>
  <c r="AS121" i="37"/>
  <c r="AZ121" i="37" s="1"/>
  <c r="AN61" i="37"/>
  <c r="BC61" i="37"/>
  <c r="AN53" i="37"/>
  <c r="BC53" i="37"/>
  <c r="BC127" i="37"/>
  <c r="AS182" i="37"/>
  <c r="AZ182" i="37" s="1"/>
  <c r="T153" i="37"/>
  <c r="AF153" i="37" s="1"/>
  <c r="AS104" i="37"/>
  <c r="AT104" i="37" s="1"/>
  <c r="AN145" i="37"/>
  <c r="BC145" i="37"/>
  <c r="AZ74" i="37"/>
  <c r="BA74" i="37" s="1"/>
  <c r="AT74" i="37"/>
  <c r="AN189" i="37"/>
  <c r="BC189" i="37"/>
  <c r="AN130" i="37"/>
  <c r="BC130" i="37"/>
  <c r="AJ19" i="37"/>
  <c r="AF19" i="37"/>
  <c r="AH19" i="37"/>
  <c r="V19" i="37"/>
  <c r="U19" i="37"/>
  <c r="AP19" i="37" s="1"/>
  <c r="AS18" i="37"/>
  <c r="AZ18" i="37" s="1"/>
  <c r="AZ176" i="37"/>
  <c r="AS167" i="37"/>
  <c r="T168" i="37"/>
  <c r="AS119" i="37"/>
  <c r="T124" i="37"/>
  <c r="AN91" i="37"/>
  <c r="BC91" i="37"/>
  <c r="AZ185" i="37"/>
  <c r="AL36" i="37"/>
  <c r="AM36" i="37" s="1"/>
  <c r="AS36" i="37"/>
  <c r="AT36" i="37" s="1"/>
  <c r="AF193" i="37"/>
  <c r="V193" i="37"/>
  <c r="AH193" i="37"/>
  <c r="AJ193" i="37"/>
  <c r="U193" i="37"/>
  <c r="AN136" i="37"/>
  <c r="BC136" i="37"/>
  <c r="AS49" i="37"/>
  <c r="AZ49" i="37" s="1"/>
  <c r="AN133" i="37"/>
  <c r="BC133" i="37"/>
  <c r="AL25" i="37"/>
  <c r="AM25" i="37" s="1"/>
  <c r="AS25" i="37"/>
  <c r="AS97" i="37"/>
  <c r="T98" i="37"/>
  <c r="BC148" i="37"/>
  <c r="AN148" i="37"/>
  <c r="AL22" i="37"/>
  <c r="AM22" i="37" s="1"/>
  <c r="AS22" i="37"/>
  <c r="BC77" i="37"/>
  <c r="AN77" i="37"/>
  <c r="BC196" i="37"/>
  <c r="AN196" i="37"/>
  <c r="BC112" i="37"/>
  <c r="AN112" i="37"/>
  <c r="AL101" i="37"/>
  <c r="AM101" i="37" s="1"/>
  <c r="AS101" i="37"/>
  <c r="AZ47" i="37"/>
  <c r="AL47" i="37"/>
  <c r="AM47" i="37" s="1"/>
  <c r="AS47" i="37"/>
  <c r="AS142" i="37"/>
  <c r="AL142" i="37"/>
  <c r="AM142" i="37" s="1"/>
  <c r="AZ157" i="37"/>
  <c r="D8" i="32" l="1"/>
  <c r="AR184" i="30"/>
  <c r="AR330" i="30"/>
  <c r="AP326" i="30"/>
  <c r="AS326" i="30" s="1"/>
  <c r="E8" i="32"/>
  <c r="AR210" i="30"/>
  <c r="AP210" i="30"/>
  <c r="AS210" i="30" s="1"/>
  <c r="AP208" i="30"/>
  <c r="AS208" i="30" s="1"/>
  <c r="AR208" i="30"/>
  <c r="AZ86" i="37"/>
  <c r="AR150" i="30"/>
  <c r="AS11" i="26"/>
  <c r="C8" i="32"/>
  <c r="E82" i="32"/>
  <c r="E88" i="32" s="1"/>
  <c r="AT77" i="37"/>
  <c r="AU77" i="37" s="1"/>
  <c r="BD77" i="37" s="1"/>
  <c r="AS107" i="37"/>
  <c r="AZ107" i="37" s="1"/>
  <c r="T88" i="37"/>
  <c r="AH88" i="37" s="1"/>
  <c r="AZ87" i="37"/>
  <c r="AZ61" i="37"/>
  <c r="BA61" i="37" s="1"/>
  <c r="BB61" i="37" s="1"/>
  <c r="BE61" i="37" s="1"/>
  <c r="AF108" i="37"/>
  <c r="AZ39" i="37"/>
  <c r="BA39" i="37" s="1"/>
  <c r="BB39" i="37" s="1"/>
  <c r="BE39" i="37" s="1"/>
  <c r="V108" i="37"/>
  <c r="AY108" i="37" s="1"/>
  <c r="AJ108" i="37"/>
  <c r="AH108" i="37"/>
  <c r="AF155" i="30"/>
  <c r="AQ155" i="30" s="1"/>
  <c r="AR103" i="30"/>
  <c r="AT42" i="37"/>
  <c r="AP123" i="30"/>
  <c r="AS123" i="30" s="1"/>
  <c r="AR165" i="30"/>
  <c r="BC161" i="37"/>
  <c r="AP215" i="30"/>
  <c r="AS215" i="30" s="1"/>
  <c r="AP194" i="30"/>
  <c r="AS194" i="30" s="1"/>
  <c r="AP266" i="30"/>
  <c r="AS266" i="30" s="1"/>
  <c r="AP286" i="30"/>
  <c r="AS286" i="30" s="1"/>
  <c r="AS84" i="37"/>
  <c r="AZ84" i="37" s="1"/>
  <c r="V186" i="37"/>
  <c r="AY186" i="37" s="1"/>
  <c r="AM155" i="30"/>
  <c r="AP290" i="30"/>
  <c r="AS290" i="30" s="1"/>
  <c r="AH186" i="37"/>
  <c r="AP138" i="30"/>
  <c r="AS138" i="30" s="1"/>
  <c r="AR161" i="30"/>
  <c r="AF186" i="37"/>
  <c r="U186" i="37"/>
  <c r="AP186" i="37" s="1"/>
  <c r="AP52" i="30"/>
  <c r="AS52" i="30" s="1"/>
  <c r="AD172" i="37"/>
  <c r="U172" i="37"/>
  <c r="AR172" i="37" s="1"/>
  <c r="AZ44" i="37"/>
  <c r="BA42" i="37" s="1"/>
  <c r="AF158" i="37"/>
  <c r="AF172" i="37"/>
  <c r="V172" i="37"/>
  <c r="AY172" i="37" s="1"/>
  <c r="AR186" i="30"/>
  <c r="AU139" i="37"/>
  <c r="BD139" i="37" s="1"/>
  <c r="AJ172" i="37"/>
  <c r="AF237" i="30"/>
  <c r="AQ237" i="30" s="1"/>
  <c r="U149" i="37"/>
  <c r="AR149" i="37" s="1"/>
  <c r="AR313" i="30"/>
  <c r="AZ189" i="37"/>
  <c r="BA189" i="37" s="1"/>
  <c r="BB189" i="37" s="1"/>
  <c r="BE189" i="37" s="1"/>
  <c r="AN80" i="37"/>
  <c r="AT56" i="37"/>
  <c r="AU56" i="37" s="1"/>
  <c r="BD56" i="37" s="1"/>
  <c r="AS154" i="30"/>
  <c r="AP17" i="30"/>
  <c r="AS17" i="30" s="1"/>
  <c r="AT127" i="37"/>
  <c r="AU127" i="37" s="1"/>
  <c r="BD127" i="37" s="1"/>
  <c r="AZ57" i="37"/>
  <c r="BA56" i="37" s="1"/>
  <c r="BB56" i="37" s="1"/>
  <c r="BE56" i="37" s="1"/>
  <c r="BB94" i="37"/>
  <c r="BE94" i="37" s="1"/>
  <c r="AZ139" i="37"/>
  <c r="BA139" i="37" s="1"/>
  <c r="BB139" i="37" s="1"/>
  <c r="BE139" i="37" s="1"/>
  <c r="BA176" i="37"/>
  <c r="AT133" i="37"/>
  <c r="AU133" i="37" s="1"/>
  <c r="BD133" i="37" s="1"/>
  <c r="AN176" i="37"/>
  <c r="AT161" i="37"/>
  <c r="AU161" i="37" s="1"/>
  <c r="BD161" i="37" s="1"/>
  <c r="AZ53" i="37"/>
  <c r="BA53" i="37" s="1"/>
  <c r="BB53" i="37" s="1"/>
  <c r="BE53" i="37" s="1"/>
  <c r="AT176" i="37"/>
  <c r="AU53" i="37"/>
  <c r="BD53" i="37" s="1"/>
  <c r="AR24" i="30"/>
  <c r="AR109" i="30"/>
  <c r="AF250" i="30"/>
  <c r="AQ250" i="30" s="1"/>
  <c r="BC56" i="37"/>
  <c r="AH158" i="37"/>
  <c r="V149" i="37"/>
  <c r="AY149" i="37" s="1"/>
  <c r="U158" i="37"/>
  <c r="AR158" i="37" s="1"/>
  <c r="AF149" i="37"/>
  <c r="BA201" i="37"/>
  <c r="BB145" i="37"/>
  <c r="BE145" i="37" s="1"/>
  <c r="AT148" i="37"/>
  <c r="AU148" i="37" s="1"/>
  <c r="BD148" i="37" s="1"/>
  <c r="AT136" i="37"/>
  <c r="AU136" i="37" s="1"/>
  <c r="BD136" i="37" s="1"/>
  <c r="BC31" i="37"/>
  <c r="BC74" i="37"/>
  <c r="AT145" i="37"/>
  <c r="AU145" i="37" s="1"/>
  <c r="BD145" i="37" s="1"/>
  <c r="AP122" i="30"/>
  <c r="AS122" i="30" s="1"/>
  <c r="BB28" i="37"/>
  <c r="BE28" i="37" s="1"/>
  <c r="AR189" i="30"/>
  <c r="AR64" i="30"/>
  <c r="AJ155" i="30"/>
  <c r="AP294" i="30"/>
  <c r="AS294" i="30" s="1"/>
  <c r="AT31" i="37"/>
  <c r="AU31" i="37" s="1"/>
  <c r="BD31" i="37" s="1"/>
  <c r="BC39" i="37"/>
  <c r="AZ161" i="37"/>
  <c r="BA161" i="37" s="1"/>
  <c r="BB161" i="37" s="1"/>
  <c r="BE161" i="37" s="1"/>
  <c r="AR25" i="30"/>
  <c r="AP120" i="30"/>
  <c r="AS120" i="30" s="1"/>
  <c r="AJ158" i="37"/>
  <c r="AT112" i="37"/>
  <c r="AU112" i="37" s="1"/>
  <c r="BD112" i="37" s="1"/>
  <c r="AJ149" i="37"/>
  <c r="AP95" i="30"/>
  <c r="AS95" i="30" s="1"/>
  <c r="BA80" i="37"/>
  <c r="AR40" i="30"/>
  <c r="AP40" i="30"/>
  <c r="AS40" i="30" s="1"/>
  <c r="AN201" i="37"/>
  <c r="AN42" i="37"/>
  <c r="BC42" i="37"/>
  <c r="AT80" i="37"/>
  <c r="AT94" i="37"/>
  <c r="AU94" i="37" s="1"/>
  <c r="BD94" i="37" s="1"/>
  <c r="AT130" i="37"/>
  <c r="AU130" i="37" s="1"/>
  <c r="BD130" i="37" s="1"/>
  <c r="AZ130" i="37"/>
  <c r="BA130" i="37" s="1"/>
  <c r="BB130" i="37" s="1"/>
  <c r="BE130" i="37" s="1"/>
  <c r="AT91" i="37"/>
  <c r="AU91" i="37" s="1"/>
  <c r="BD91" i="37" s="1"/>
  <c r="AZ36" i="37"/>
  <c r="BA36" i="37" s="1"/>
  <c r="AR110" i="30"/>
  <c r="AT201" i="37"/>
  <c r="AR175" i="30"/>
  <c r="AP175" i="30"/>
  <c r="AS175" i="30" s="1"/>
  <c r="AP308" i="30"/>
  <c r="AS308" i="30" s="1"/>
  <c r="AR308" i="30"/>
  <c r="AP272" i="30"/>
  <c r="AS272" i="30" s="1"/>
  <c r="AP124" i="30"/>
  <c r="AS124" i="30" s="1"/>
  <c r="AP39" i="30"/>
  <c r="AS39" i="30" s="1"/>
  <c r="AP16" i="30"/>
  <c r="AS16" i="30" s="1"/>
  <c r="AR16" i="30"/>
  <c r="AR78" i="30"/>
  <c r="AP78" i="30"/>
  <c r="AS78" i="30" s="1"/>
  <c r="AP317" i="30"/>
  <c r="AS317" i="30" s="1"/>
  <c r="AR317" i="30"/>
  <c r="AR299" i="30"/>
  <c r="AP121" i="30"/>
  <c r="AS121" i="30" s="1"/>
  <c r="AP322" i="30"/>
  <c r="AS322" i="30" s="1"/>
  <c r="AP89" i="30"/>
  <c r="AS89" i="30" s="1"/>
  <c r="AP57" i="30"/>
  <c r="AS57" i="30" s="1"/>
  <c r="AR62" i="30"/>
  <c r="AP62" i="30"/>
  <c r="AS62" i="30" s="1"/>
  <c r="AP44" i="30"/>
  <c r="AS44" i="30" s="1"/>
  <c r="AR44" i="30"/>
  <c r="AP98" i="30"/>
  <c r="AS98" i="30" s="1"/>
  <c r="AR187" i="30"/>
  <c r="AR268" i="30"/>
  <c r="S18" i="30"/>
  <c r="AR303" i="30"/>
  <c r="AP303" i="30"/>
  <c r="AS303" i="30" s="1"/>
  <c r="AR209" i="30"/>
  <c r="AP209" i="30"/>
  <c r="AS209" i="30" s="1"/>
  <c r="AP83" i="30"/>
  <c r="AS83" i="30" s="1"/>
  <c r="AR83" i="30"/>
  <c r="AU39" i="37"/>
  <c r="BD39" i="37" s="1"/>
  <c r="AU189" i="37"/>
  <c r="BD189" i="37" s="1"/>
  <c r="AP241" i="30"/>
  <c r="AS241" i="30" s="1"/>
  <c r="AR241" i="30"/>
  <c r="AP117" i="30"/>
  <c r="AS117" i="30" s="1"/>
  <c r="AR117" i="30"/>
  <c r="AP79" i="30"/>
  <c r="AS79" i="30" s="1"/>
  <c r="AR79" i="30"/>
  <c r="S250" i="30"/>
  <c r="AR249" i="30"/>
  <c r="AP249" i="30"/>
  <c r="AT180" i="37"/>
  <c r="AR228" i="30"/>
  <c r="AP228" i="30"/>
  <c r="AS228" i="30" s="1"/>
  <c r="AS236" i="30"/>
  <c r="T237" i="30"/>
  <c r="AP66" i="30"/>
  <c r="AR66" i="30"/>
  <c r="AC104" i="30"/>
  <c r="AA104" i="30"/>
  <c r="AE104" i="30"/>
  <c r="AN180" i="37"/>
  <c r="AJ237" i="30"/>
  <c r="AH237" i="30"/>
  <c r="AR169" i="30"/>
  <c r="AP169" i="30"/>
  <c r="AS169" i="30" s="1"/>
  <c r="AP245" i="30"/>
  <c r="AS245" i="30" s="1"/>
  <c r="AR245" i="30"/>
  <c r="AR232" i="30"/>
  <c r="AP232" i="30"/>
  <c r="AS232" i="30" s="1"/>
  <c r="AR134" i="30"/>
  <c r="AP134" i="30"/>
  <c r="AS134" i="30" s="1"/>
  <c r="AR102" i="30"/>
  <c r="AP102" i="30"/>
  <c r="S104" i="30"/>
  <c r="AP111" i="30"/>
  <c r="AS111" i="30" s="1"/>
  <c r="AR23" i="30"/>
  <c r="AR218" i="30"/>
  <c r="AR214" i="30"/>
  <c r="AR211" i="30"/>
  <c r="AP211" i="30"/>
  <c r="AS211" i="30" s="1"/>
  <c r="AP63" i="30"/>
  <c r="AS63" i="30" s="1"/>
  <c r="AP262" i="30"/>
  <c r="AS262" i="30" s="1"/>
  <c r="AP267" i="30"/>
  <c r="AS267" i="30" s="1"/>
  <c r="AR219" i="30"/>
  <c r="AR84" i="30"/>
  <c r="AR185" i="30"/>
  <c r="AR261" i="30"/>
  <c r="AP125" i="30"/>
  <c r="AS125" i="30" s="1"/>
  <c r="AR311" i="30"/>
  <c r="AR217" i="30"/>
  <c r="AP171" i="30"/>
  <c r="AS171" i="30" s="1"/>
  <c r="AR171" i="30"/>
  <c r="AP188" i="30"/>
  <c r="AS188" i="30" s="1"/>
  <c r="AP255" i="30"/>
  <c r="AS255" i="30" s="1"/>
  <c r="AR255" i="30"/>
  <c r="AP31" i="30"/>
  <c r="AS31" i="30" s="1"/>
  <c r="AR97" i="30"/>
  <c r="AP97" i="30"/>
  <c r="AS97" i="30" s="1"/>
  <c r="AA18" i="30"/>
  <c r="AR118" i="30"/>
  <c r="AR309" i="30"/>
  <c r="AP309" i="30"/>
  <c r="AS309" i="30" s="1"/>
  <c r="AE18" i="30"/>
  <c r="AR112" i="30"/>
  <c r="AP112" i="30"/>
  <c r="AS112" i="30" s="1"/>
  <c r="AP216" i="30"/>
  <c r="AS216" i="30" s="1"/>
  <c r="Y296" i="30"/>
  <c r="AC296" i="30"/>
  <c r="AA296" i="30"/>
  <c r="AE296" i="30"/>
  <c r="AP195" i="30"/>
  <c r="AS195" i="30" s="1"/>
  <c r="AR195" i="30"/>
  <c r="AP295" i="30"/>
  <c r="AR295" i="30"/>
  <c r="S296" i="30"/>
  <c r="AR96" i="30"/>
  <c r="AP96" i="30"/>
  <c r="AS96" i="30" s="1"/>
  <c r="AP30" i="30"/>
  <c r="AS30" i="30" s="1"/>
  <c r="AR30" i="30"/>
  <c r="AP156" i="30"/>
  <c r="AR156" i="30"/>
  <c r="S157" i="30"/>
  <c r="AE273" i="30"/>
  <c r="AA273" i="30"/>
  <c r="AC273" i="30"/>
  <c r="AR212" i="30"/>
  <c r="AP212" i="30"/>
  <c r="AS212" i="30" s="1"/>
  <c r="AC157" i="30"/>
  <c r="AA157" i="30"/>
  <c r="AE157" i="30"/>
  <c r="AP170" i="30"/>
  <c r="AS170" i="30" s="1"/>
  <c r="AR170" i="30"/>
  <c r="AP224" i="30"/>
  <c r="AS224" i="30" s="1"/>
  <c r="AR224" i="30"/>
  <c r="AP270" i="30"/>
  <c r="AR270" i="30"/>
  <c r="S273" i="30"/>
  <c r="BA31" i="37"/>
  <c r="BB31" i="37" s="1"/>
  <c r="BE31" i="37" s="1"/>
  <c r="AZ196" i="37"/>
  <c r="BA196" i="37" s="1"/>
  <c r="BB196" i="37" s="1"/>
  <c r="BE196" i="37" s="1"/>
  <c r="AU104" i="37"/>
  <c r="BD104" i="37" s="1"/>
  <c r="AT28" i="37"/>
  <c r="AU28" i="37" s="1"/>
  <c r="BD28" i="37" s="1"/>
  <c r="AZ207" i="37"/>
  <c r="BA207" i="37" s="1"/>
  <c r="BB207" i="37" s="1"/>
  <c r="BE207" i="37" s="1"/>
  <c r="AT207" i="37"/>
  <c r="AU207" i="37" s="1"/>
  <c r="BD207" i="37" s="1"/>
  <c r="AU74" i="37"/>
  <c r="BD74" i="37" s="1"/>
  <c r="BB74" i="37"/>
  <c r="BE74" i="37" s="1"/>
  <c r="AH153" i="37"/>
  <c r="BA180" i="37"/>
  <c r="AU61" i="37"/>
  <c r="BD61" i="37" s="1"/>
  <c r="BB136" i="37"/>
  <c r="BE136" i="37" s="1"/>
  <c r="BB91" i="37"/>
  <c r="BE91" i="37" s="1"/>
  <c r="BB148" i="37"/>
  <c r="BE148" i="37" s="1"/>
  <c r="AJ153" i="37"/>
  <c r="U153" i="37"/>
  <c r="AR153" i="37" s="1"/>
  <c r="AZ104" i="37"/>
  <c r="BA104" i="37" s="1"/>
  <c r="BB104" i="37" s="1"/>
  <c r="BE104" i="37" s="1"/>
  <c r="V153" i="37"/>
  <c r="AY153" i="37" s="1"/>
  <c r="AR19" i="37"/>
  <c r="AP108" i="37"/>
  <c r="AR108" i="37"/>
  <c r="AW19" i="37"/>
  <c r="AY19" i="37"/>
  <c r="AK19" i="37"/>
  <c r="AN142" i="37"/>
  <c r="BC142" i="37"/>
  <c r="BB77" i="37"/>
  <c r="BE77" i="37" s="1"/>
  <c r="V124" i="37"/>
  <c r="U124" i="37"/>
  <c r="AJ124" i="37"/>
  <c r="AH124" i="37"/>
  <c r="AF124" i="37"/>
  <c r="AT47" i="37"/>
  <c r="BC101" i="37"/>
  <c r="AN101" i="37"/>
  <c r="AW158" i="37"/>
  <c r="AY158" i="37"/>
  <c r="AZ97" i="37"/>
  <c r="AP193" i="37"/>
  <c r="AR193" i="37"/>
  <c r="AK193" i="37"/>
  <c r="BA47" i="37"/>
  <c r="AZ22" i="37"/>
  <c r="BA22" i="37" s="1"/>
  <c r="AT22" i="37"/>
  <c r="AN25" i="37"/>
  <c r="BC25" i="37"/>
  <c r="BB133" i="37"/>
  <c r="BE133" i="37" s="1"/>
  <c r="AZ167" i="37"/>
  <c r="AZ142" i="37"/>
  <c r="BA142" i="37" s="1"/>
  <c r="AT142" i="37"/>
  <c r="AT101" i="37"/>
  <c r="AZ101" i="37"/>
  <c r="BA101" i="37" s="1"/>
  <c r="AN22" i="37"/>
  <c r="BC22" i="37"/>
  <c r="V98" i="37"/>
  <c r="AF98" i="37"/>
  <c r="AH98" i="37"/>
  <c r="AJ98" i="37"/>
  <c r="U98" i="37"/>
  <c r="BB112" i="37"/>
  <c r="BE112" i="37" s="1"/>
  <c r="AW193" i="37"/>
  <c r="AY193" i="37"/>
  <c r="BC47" i="37"/>
  <c r="AN47" i="37"/>
  <c r="AZ25" i="37"/>
  <c r="BA25" i="37" s="1"/>
  <c r="AT25" i="37"/>
  <c r="BC36" i="37"/>
  <c r="BC13" i="37" s="1"/>
  <c r="AN36" i="37"/>
  <c r="AU36" i="37" s="1"/>
  <c r="BD36" i="37" s="1"/>
  <c r="AZ119" i="37"/>
  <c r="AH168" i="37"/>
  <c r="V168" i="37"/>
  <c r="U168" i="37"/>
  <c r="AF168" i="37"/>
  <c r="AJ168" i="37"/>
  <c r="AD168" i="37"/>
  <c r="AU196" i="37"/>
  <c r="BD196" i="37" s="1"/>
  <c r="AK155" i="30" l="1"/>
  <c r="AR155" i="30" s="1"/>
  <c r="AJ88" i="37"/>
  <c r="V88" i="37"/>
  <c r="AY88" i="37" s="1"/>
  <c r="AF88" i="37"/>
  <c r="U88" i="37"/>
  <c r="AR88" i="37" s="1"/>
  <c r="AW108" i="37"/>
  <c r="AK108" i="37"/>
  <c r="T109" i="37" s="1"/>
  <c r="U109" i="37" s="1"/>
  <c r="AP149" i="37"/>
  <c r="AU42" i="37"/>
  <c r="BD42" i="37" s="1"/>
  <c r="AK149" i="37"/>
  <c r="AL149" i="37" s="1"/>
  <c r="AM149" i="37" s="1"/>
  <c r="AN149" i="37" s="1"/>
  <c r="AP158" i="37"/>
  <c r="AR186" i="37"/>
  <c r="AW186" i="37"/>
  <c r="AK186" i="37"/>
  <c r="AL185" i="37" s="1"/>
  <c r="AM185" i="37" s="1"/>
  <c r="AK172" i="37"/>
  <c r="T173" i="37" s="1"/>
  <c r="AP172" i="37"/>
  <c r="AW172" i="37"/>
  <c r="BB42" i="37"/>
  <c r="BE42" i="37" s="1"/>
  <c r="AU201" i="37"/>
  <c r="BD201" i="37" s="1"/>
  <c r="AU80" i="37"/>
  <c r="BD80" i="37" s="1"/>
  <c r="AW149" i="37"/>
  <c r="BB80" i="37"/>
  <c r="BE80" i="37" s="1"/>
  <c r="BB180" i="37"/>
  <c r="BE180" i="37" s="1"/>
  <c r="AU176" i="37"/>
  <c r="BD176" i="37" s="1"/>
  <c r="AK158" i="37"/>
  <c r="BB201" i="37"/>
  <c r="BE201" i="37" s="1"/>
  <c r="BB176" i="37"/>
  <c r="BE176" i="37" s="1"/>
  <c r="AU180" i="37"/>
  <c r="BD180" i="37" s="1"/>
  <c r="AF18" i="30"/>
  <c r="AQ18" i="30" s="1"/>
  <c r="AK237" i="30"/>
  <c r="AR237" i="30" s="1"/>
  <c r="T18" i="30"/>
  <c r="AO18" i="30" s="1"/>
  <c r="AP155" i="30"/>
  <c r="AS155" i="30" s="1"/>
  <c r="AH18" i="30"/>
  <c r="AJ18" i="30"/>
  <c r="T250" i="30"/>
  <c r="AS249" i="30"/>
  <c r="AF104" i="30"/>
  <c r="AQ104" i="30" s="1"/>
  <c r="AM237" i="30"/>
  <c r="AO237" i="30"/>
  <c r="BB101" i="37"/>
  <c r="BE101" i="37" s="1"/>
  <c r="AH104" i="30"/>
  <c r="AJ104" i="30"/>
  <c r="AH250" i="30"/>
  <c r="AJ250" i="30"/>
  <c r="AS102" i="30"/>
  <c r="T104" i="30"/>
  <c r="AF296" i="30"/>
  <c r="R297" i="30" s="1"/>
  <c r="AS295" i="30"/>
  <c r="T296" i="30"/>
  <c r="AF273" i="30"/>
  <c r="AQ273" i="30" s="1"/>
  <c r="AH296" i="30"/>
  <c r="AJ296" i="30"/>
  <c r="AJ157" i="30"/>
  <c r="AH157" i="30"/>
  <c r="AS270" i="30"/>
  <c r="T273" i="30"/>
  <c r="AF157" i="30"/>
  <c r="AQ157" i="30" s="1"/>
  <c r="T157" i="30"/>
  <c r="AS156" i="30"/>
  <c r="AJ273" i="30"/>
  <c r="AH273" i="30"/>
  <c r="AP153" i="37"/>
  <c r="AW153" i="37"/>
  <c r="AK153" i="37"/>
  <c r="T154" i="37" s="1"/>
  <c r="AD154" i="37" s="1"/>
  <c r="AU101" i="37"/>
  <c r="BD101" i="37" s="1"/>
  <c r="AU25" i="37"/>
  <c r="BD25" i="37" s="1"/>
  <c r="BB25" i="37"/>
  <c r="BE25" i="37" s="1"/>
  <c r="BB142" i="37"/>
  <c r="BE142" i="37" s="1"/>
  <c r="AK124" i="37"/>
  <c r="AL117" i="37" s="1"/>
  <c r="AM117" i="37" s="1"/>
  <c r="AS19" i="37"/>
  <c r="AL16" i="37"/>
  <c r="AS193" i="37"/>
  <c r="AL192" i="37"/>
  <c r="AM192" i="37" s="1"/>
  <c r="AY124" i="37"/>
  <c r="AW124" i="37"/>
  <c r="AK98" i="37"/>
  <c r="BB47" i="37"/>
  <c r="BE47" i="37" s="1"/>
  <c r="AU47" i="37"/>
  <c r="BD47" i="37" s="1"/>
  <c r="BD13" i="37" s="1"/>
  <c r="BB36" i="37"/>
  <c r="BE36" i="37" s="1"/>
  <c r="AR168" i="37"/>
  <c r="AP168" i="37"/>
  <c r="AP98" i="37"/>
  <c r="AR98" i="37"/>
  <c r="AY98" i="37"/>
  <c r="AW98" i="37"/>
  <c r="AU22" i="37"/>
  <c r="BD22" i="37" s="1"/>
  <c r="AK168" i="37"/>
  <c r="AY168" i="37"/>
  <c r="AW168" i="37"/>
  <c r="AU142" i="37"/>
  <c r="BD142" i="37" s="1"/>
  <c r="BB22" i="37"/>
  <c r="BE22" i="37" s="1"/>
  <c r="AR124" i="37"/>
  <c r="AP124" i="37"/>
  <c r="BE13" i="37" l="1"/>
  <c r="AK88" i="37"/>
  <c r="AS88" i="37" s="1"/>
  <c r="AT84" i="37" s="1"/>
  <c r="AJ109" i="37"/>
  <c r="AH109" i="37"/>
  <c r="V109" i="37"/>
  <c r="AW109" i="37" s="1"/>
  <c r="AF109" i="37"/>
  <c r="AS108" i="37"/>
  <c r="AZ108" i="37" s="1"/>
  <c r="AS149" i="37"/>
  <c r="AT149" i="37" s="1"/>
  <c r="AU149" i="37" s="1"/>
  <c r="AN185" i="37"/>
  <c r="BC185" i="37"/>
  <c r="BC149" i="37"/>
  <c r="AS158" i="37"/>
  <c r="AT157" i="37" s="1"/>
  <c r="AS172" i="37"/>
  <c r="AZ172" i="37" s="1"/>
  <c r="AS186" i="37"/>
  <c r="AZ186" i="37" s="1"/>
  <c r="BA185" i="37" s="1"/>
  <c r="AP237" i="30"/>
  <c r="AS237" i="30" s="1"/>
  <c r="AL157" i="37"/>
  <c r="AM157" i="37" s="1"/>
  <c r="BC157" i="37" s="1"/>
  <c r="AM18" i="30"/>
  <c r="AF154" i="37"/>
  <c r="AS153" i="37"/>
  <c r="AZ153" i="37" s="1"/>
  <c r="AK18" i="30"/>
  <c r="AR18" i="30" s="1"/>
  <c r="AQ296" i="30"/>
  <c r="AK250" i="30"/>
  <c r="AR250" i="30" s="1"/>
  <c r="U154" i="37"/>
  <c r="AR154" i="37" s="1"/>
  <c r="AH154" i="37"/>
  <c r="AK273" i="30"/>
  <c r="AR273" i="30" s="1"/>
  <c r="AK296" i="30"/>
  <c r="AR296" i="30" s="1"/>
  <c r="AM104" i="30"/>
  <c r="AO104" i="30"/>
  <c r="AK104" i="30"/>
  <c r="AM250" i="30"/>
  <c r="AO250" i="30"/>
  <c r="AM296" i="30"/>
  <c r="AO296" i="30"/>
  <c r="AE297" i="30"/>
  <c r="AA297" i="30"/>
  <c r="AC297" i="30"/>
  <c r="Y297" i="30"/>
  <c r="AO273" i="30"/>
  <c r="AM273" i="30"/>
  <c r="AO157" i="30"/>
  <c r="AM157" i="30"/>
  <c r="AK157" i="30"/>
  <c r="V154" i="37"/>
  <c r="AY154" i="37" s="1"/>
  <c r="AJ154" i="37"/>
  <c r="AS124" i="37"/>
  <c r="AT117" i="37" s="1"/>
  <c r="AP109" i="37"/>
  <c r="AR109" i="37"/>
  <c r="AZ19" i="37"/>
  <c r="BA16" i="37" s="1"/>
  <c r="AT16" i="37"/>
  <c r="AN16" i="37"/>
  <c r="BC16" i="37"/>
  <c r="AF173" i="37"/>
  <c r="AH173" i="37"/>
  <c r="AJ173" i="37"/>
  <c r="V173" i="37"/>
  <c r="U173" i="37"/>
  <c r="BC192" i="37"/>
  <c r="AN192" i="37"/>
  <c r="AZ193" i="37"/>
  <c r="BA192" i="37" s="1"/>
  <c r="AT192" i="37"/>
  <c r="AS98" i="37"/>
  <c r="AL97" i="37"/>
  <c r="AM97" i="37" s="1"/>
  <c r="T169" i="37"/>
  <c r="AS168" i="37"/>
  <c r="AN117" i="37"/>
  <c r="BC117" i="37"/>
  <c r="AL84" i="37" l="1"/>
  <c r="AM84" i="37" s="1"/>
  <c r="AN84" i="37" s="1"/>
  <c r="BC84" i="37" s="1"/>
  <c r="AZ88" i="37"/>
  <c r="BA84" i="37" s="1"/>
  <c r="AK109" i="37"/>
  <c r="AL107" i="37" s="1"/>
  <c r="AM107" i="37" s="1"/>
  <c r="AY109" i="37"/>
  <c r="AZ149" i="37"/>
  <c r="BA149" i="37" s="1"/>
  <c r="BB149" i="37" s="1"/>
  <c r="AT185" i="37"/>
  <c r="AU185" i="37" s="1"/>
  <c r="BD185" i="37" s="1"/>
  <c r="BB185" i="37"/>
  <c r="BE185" i="37" s="1"/>
  <c r="AZ124" i="37"/>
  <c r="BA117" i="37" s="1"/>
  <c r="BB117" i="37" s="1"/>
  <c r="BE117" i="37" s="1"/>
  <c r="AZ158" i="37"/>
  <c r="BA157" i="37" s="1"/>
  <c r="S297" i="30"/>
  <c r="AH297" i="30" s="1"/>
  <c r="AN157" i="37"/>
  <c r="AP273" i="30"/>
  <c r="AS273" i="30" s="1"/>
  <c r="AP18" i="30"/>
  <c r="AS18" i="30" s="1"/>
  <c r="AP154" i="37"/>
  <c r="AU192" i="37"/>
  <c r="BD192" i="37" s="1"/>
  <c r="AK154" i="37"/>
  <c r="AS154" i="37" s="1"/>
  <c r="AW154" i="37"/>
  <c r="AP250" i="30"/>
  <c r="AS250" i="30" s="1"/>
  <c r="AP296" i="30"/>
  <c r="AS296" i="30" s="1"/>
  <c r="AR104" i="30"/>
  <c r="AP104" i="30"/>
  <c r="AS104" i="30" s="1"/>
  <c r="AF297" i="30"/>
  <c r="AR157" i="30"/>
  <c r="AP157" i="30"/>
  <c r="AS157" i="30" s="1"/>
  <c r="AK173" i="37"/>
  <c r="BB16" i="37"/>
  <c r="BE16" i="37" s="1"/>
  <c r="AU16" i="37"/>
  <c r="BD16" i="37" s="1"/>
  <c r="BC97" i="37"/>
  <c r="AN97" i="37"/>
  <c r="AZ168" i="37"/>
  <c r="AZ98" i="37"/>
  <c r="BA97" i="37" s="1"/>
  <c r="AT97" i="37"/>
  <c r="AJ169" i="37"/>
  <c r="V169" i="37"/>
  <c r="AH169" i="37"/>
  <c r="U169" i="37"/>
  <c r="AF169" i="37"/>
  <c r="AR173" i="37"/>
  <c r="AP173" i="37"/>
  <c r="AU117" i="37"/>
  <c r="BD117" i="37" s="1"/>
  <c r="BB192" i="37"/>
  <c r="BE192" i="37" s="1"/>
  <c r="AY173" i="37"/>
  <c r="AW173" i="37"/>
  <c r="AS109" i="37" l="1"/>
  <c r="AZ109" i="37" s="1"/>
  <c r="BA107" i="37" s="1"/>
  <c r="AU84" i="37"/>
  <c r="BD84" i="37" s="1"/>
  <c r="BB84" i="37"/>
  <c r="BE84" i="37" s="1"/>
  <c r="BB157" i="37"/>
  <c r="BE157" i="37" s="1"/>
  <c r="AU157" i="37"/>
  <c r="BD157" i="37" s="1"/>
  <c r="AU97" i="37"/>
  <c r="BD97" i="37" s="1"/>
  <c r="AJ297" i="30"/>
  <c r="AK297" i="30" s="1"/>
  <c r="AL152" i="37"/>
  <c r="AM152" i="37" s="1"/>
  <c r="AN152" i="37" s="1"/>
  <c r="T297" i="30"/>
  <c r="AO297" i="30" s="1"/>
  <c r="R298" i="30"/>
  <c r="AQ297" i="30"/>
  <c r="AS173" i="37"/>
  <c r="AZ173" i="37" s="1"/>
  <c r="BB97" i="37"/>
  <c r="BE97" i="37" s="1"/>
  <c r="AK169" i="37"/>
  <c r="AN107" i="37"/>
  <c r="BC107" i="37"/>
  <c r="AT107" i="37"/>
  <c r="AR169" i="37"/>
  <c r="AP169" i="37"/>
  <c r="AZ154" i="37"/>
  <c r="BA152" i="37" s="1"/>
  <c r="AT152" i="37"/>
  <c r="AW169" i="37"/>
  <c r="AY169" i="37"/>
  <c r="BC152" i="37" l="1"/>
  <c r="AM297" i="30"/>
  <c r="BB152" i="37"/>
  <c r="BE152" i="37" s="1"/>
  <c r="Y298" i="30"/>
  <c r="AC298" i="30"/>
  <c r="AE298" i="30"/>
  <c r="AA298" i="30"/>
  <c r="S298" i="30"/>
  <c r="AR297" i="30"/>
  <c r="AP297" i="30"/>
  <c r="BB107" i="37"/>
  <c r="BE107" i="37" s="1"/>
  <c r="AS169" i="37"/>
  <c r="AZ169" i="37" s="1"/>
  <c r="BA167" i="37" s="1"/>
  <c r="AL167" i="37"/>
  <c r="AM167" i="37" s="1"/>
  <c r="AN167" i="37" s="1"/>
  <c r="AU107" i="37"/>
  <c r="BD107" i="37" s="1"/>
  <c r="AU152" i="37"/>
  <c r="BD152" i="37" s="1"/>
  <c r="T298" i="30" l="1"/>
  <c r="AS297" i="30"/>
  <c r="AH298" i="30"/>
  <c r="AJ298" i="30"/>
  <c r="AF298" i="30"/>
  <c r="AQ298" i="30" s="1"/>
  <c r="AQ13" i="30" s="1"/>
  <c r="C10" i="32" s="1"/>
  <c r="BC167" i="37"/>
  <c r="AT167" i="37"/>
  <c r="AU167" i="37" s="1"/>
  <c r="BD167" i="37" s="1"/>
  <c r="BD12" i="37" s="1"/>
  <c r="D7" i="32" s="1"/>
  <c r="BB167" i="37"/>
  <c r="BE167" i="37" s="1"/>
  <c r="BE12" i="37" l="1"/>
  <c r="E7" i="32" s="1"/>
  <c r="AK298" i="30"/>
  <c r="AR298" i="30" s="1"/>
  <c r="AR13" i="30" s="1"/>
  <c r="D10" i="32" s="1"/>
  <c r="AM298" i="30"/>
  <c r="AO298" i="30"/>
  <c r="AP298" i="30" l="1"/>
  <c r="AS298" i="30" s="1"/>
  <c r="AS13" i="30" s="1"/>
  <c r="E10" i="32" s="1"/>
  <c r="E13" i="32" s="1"/>
  <c r="D13" i="32"/>
  <c r="E15" i="32" l="1"/>
  <c r="E27" i="32"/>
  <c r="D15" i="32"/>
  <c r="D27" i="32"/>
  <c r="D14" i="32"/>
  <c r="D22" i="32"/>
  <c r="E14" i="32"/>
  <c r="E22" i="32"/>
  <c r="BC12" i="37" l="1"/>
  <c r="C7" i="32" s="1"/>
  <c r="C13" i="32" s="1"/>
  <c r="C27" i="32" s="1"/>
  <c r="C15" i="32" l="1"/>
  <c r="C2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gharper</author>
  </authors>
  <commentList>
    <comment ref="F32" authorId="0" shapeId="0" xr:uid="{00000000-0006-0000-0000-000001000000}">
      <text>
        <r>
          <rPr>
            <b/>
            <sz val="9"/>
            <color indexed="81"/>
            <rFont val="Tahoma"/>
            <family val="2"/>
          </rPr>
          <t>gharper:</t>
        </r>
        <r>
          <rPr>
            <sz val="9"/>
            <color indexed="81"/>
            <rFont val="Tahoma"/>
            <family val="2"/>
          </rPr>
          <t xml:space="preserve">
Not consistent with Table 3a (which is correct?)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echudoba</author>
    <author>gharper</author>
    <author>tc={AFD69DCD-CF01-4CFB-853D-D3BC0EB1BDCD}</author>
    <author>tc={AE8DEDDE-0322-4121-B47D-C2E979A2CD66}</author>
    <author>tc={9097F4B2-0F04-45B7-8A96-E7A0A16AC0DF}</author>
    <author>tc={919E3817-2969-42D0-81C2-4913342D3CF9}</author>
    <author>tc={AA1698DD-E32A-42DC-9DF1-8D24CE9FAE4D}</author>
  </authors>
  <commentList>
    <comment ref="Q8" authorId="0" shapeId="0" xr:uid="{00000000-0006-0000-0200-000001000000}">
      <text>
        <r>
          <rPr>
            <sz val="9"/>
            <color indexed="81"/>
            <rFont val="Tahoma"/>
            <family val="2"/>
          </rPr>
          <t xml:space="preserve">Pollutant load calculated using the Simple Method (0.45lbsP/ac/yr) for the average land cover, inditial site conditions, actual post-dev. Conditions. </t>
        </r>
      </text>
    </comment>
    <comment ref="X8" authorId="0" shapeId="0" xr:uid="{00000000-0006-0000-0200-000002000000}">
      <text>
        <r>
          <rPr>
            <sz val="9"/>
            <color indexed="81"/>
            <rFont val="Tahoma"/>
            <family val="2"/>
          </rPr>
          <t>BMP specifications used to calculate the Retrofit Curve Efficiency.  This method is not used for underground detention basins or proprietary BMPs.</t>
        </r>
      </text>
    </comment>
    <comment ref="AO8" authorId="0" shapeId="0" xr:uid="{00000000-0006-0000-0200-000003000000}">
      <text>
        <r>
          <rPr>
            <sz val="9"/>
            <color indexed="81"/>
            <rFont val="Tahoma"/>
            <family val="2"/>
          </rPr>
          <t>This block of cells determines the nitrogen loading by calculating the lbs removed usign either the CBP efficiencies or retrofit curves (medium blue area).  Then determines the method that yields that max reduction and calculates credit available (dark blue).</t>
        </r>
      </text>
    </comment>
    <comment ref="AV8" authorId="0" shapeId="0" xr:uid="{00000000-0006-0000-0200-000004000000}">
      <text>
        <r>
          <rPr>
            <sz val="9"/>
            <color indexed="81"/>
            <rFont val="Tahoma"/>
            <family val="2"/>
          </rPr>
          <t>This block of cells determines the sediment loading by calculating the lbs removed usign either the CBP efficiencies or retrofit curves (medium blue area).  Then determines the method that yields that max reduction and method used for nitrogren and calculates credit available (dark blue).</t>
        </r>
      </text>
    </comment>
    <comment ref="Q9" authorId="0" shapeId="0" xr:uid="{00000000-0006-0000-0200-000005000000}">
      <text>
        <r>
          <rPr>
            <sz val="9"/>
            <color indexed="81"/>
            <rFont val="Tahoma"/>
            <family val="2"/>
          </rPr>
          <t>Calculates the loading based on the average land cover condition of 16% impervious using the simple method (based on 0.45 lbs/p/ac/yr).</t>
        </r>
      </text>
    </comment>
    <comment ref="R9" authorId="0" shapeId="0" xr:uid="{00000000-0006-0000-0200-000006000000}">
      <text>
        <r>
          <rPr>
            <sz val="9"/>
            <color indexed="81"/>
            <rFont val="Tahoma"/>
            <family val="2"/>
          </rPr>
          <t>Calculates pre-development load based on the pre-development impervious %.  Used as baseline for redevelopment projects.</t>
        </r>
      </text>
    </comment>
    <comment ref="S9" authorId="0" shapeId="0" xr:uid="{00000000-0006-0000-0200-000007000000}">
      <text>
        <r>
          <rPr>
            <sz val="9"/>
            <color indexed="81"/>
            <rFont val="Tahoma"/>
            <family val="2"/>
          </rPr>
          <t>Determines if the average land cover condition of 16% or pre-development loads are the baseline.  Pre-development used for redevelopment projects.</t>
        </r>
      </text>
    </comment>
    <comment ref="T9" authorId="0" shapeId="0" xr:uid="{00000000-0006-0000-0200-000008000000}">
      <text>
        <r>
          <rPr>
            <sz val="9"/>
            <color indexed="81"/>
            <rFont val="Tahoma"/>
            <family val="2"/>
          </rPr>
          <t>Uses Simple Method to determine actual post-development phosphorus loading for the stie and the BMP watershed.  If there is a treatment train, Max BMP reduction (AE) for the upstream BMP is subtracted from the Actual Post-Dev P load of the downstream BMP.</t>
        </r>
      </text>
    </comment>
    <comment ref="U9" authorId="0" shapeId="0" xr:uid="{00000000-0006-0000-0200-000009000000}">
      <text>
        <r>
          <rPr>
            <sz val="9"/>
            <color indexed="81"/>
            <rFont val="Tahoma"/>
            <family val="2"/>
          </rPr>
          <t>Uses Permit Table 4 to determine Nitrogen.</t>
        </r>
      </text>
    </comment>
    <comment ref="V9" authorId="0" shapeId="0" xr:uid="{00000000-0006-0000-0200-00000A000000}">
      <text>
        <r>
          <rPr>
            <sz val="9"/>
            <color indexed="81"/>
            <rFont val="Tahoma"/>
            <family val="2"/>
          </rPr>
          <t>Uses Permit Table 4 to determine TSS.</t>
        </r>
      </text>
    </comment>
    <comment ref="W9" authorId="0" shapeId="0" xr:uid="{00000000-0006-0000-0200-00000B000000}">
      <text>
        <r>
          <rPr>
            <sz val="9"/>
            <color indexed="81"/>
            <rFont val="Tahoma"/>
            <family val="2"/>
          </rPr>
          <t>Post-Dev. Phophorus load minus the Allowable Limit.</t>
        </r>
      </text>
    </comment>
    <comment ref="Z9" authorId="0" shapeId="0" xr:uid="{00000000-0006-0000-0200-00000C000000}">
      <text>
        <r>
          <rPr>
            <sz val="9"/>
            <color indexed="81"/>
            <rFont val="Tahoma"/>
            <family val="2"/>
          </rPr>
          <t>If we are only accounting for a small portion of a BMP watershed, then this value indicates the total impervious area the BMP is intended to treat.</t>
        </r>
      </text>
    </comment>
    <comment ref="D10" authorId="0" shapeId="0" xr:uid="{00000000-0006-0000-0200-00000D000000}">
      <text>
        <r>
          <rPr>
            <sz val="9"/>
            <color indexed="81"/>
            <rFont val="Tahoma"/>
            <family val="2"/>
          </rPr>
          <t>Refers to the file number in Albemarle County's Water Resources Department SMF files, if 1 the practice is not completed and is a estimate of what the site plans expect to practice to be.</t>
        </r>
      </text>
    </comment>
    <comment ref="E10" authorId="0" shapeId="0" xr:uid="{00000000-0006-0000-0200-00000E000000}">
      <text>
        <r>
          <rPr>
            <sz val="9"/>
            <color indexed="81"/>
            <rFont val="Tahoma"/>
            <family val="2"/>
          </rPr>
          <t>Columns D through H designate the BMP Type for the different efficiency sources.</t>
        </r>
      </text>
    </comment>
    <comment ref="J10" authorId="0" shapeId="0" xr:uid="{00000000-0006-0000-0200-00000F000000}">
      <text>
        <r>
          <rPr>
            <sz val="9"/>
            <color indexed="81"/>
            <rFont val="Tahoma"/>
            <family val="2"/>
          </rPr>
          <t>"TT" means the practice in part of a treatment train and the loads reduced by that BMP are subtracted from the next BMP in line.  Old means the facility is an older facility built for an older phase on development, but treats the new development.
R means redevelopment</t>
        </r>
      </text>
    </comment>
    <comment ref="M10" authorId="0" shapeId="0" xr:uid="{00000000-0006-0000-0200-000010000000}">
      <text>
        <r>
          <rPr>
            <sz val="9"/>
            <color indexed="81"/>
            <rFont val="Tahoma"/>
            <family val="2"/>
          </rPr>
          <t>The pre-development  impervious area, in acres, within the drainage area.</t>
        </r>
      </text>
    </comment>
    <comment ref="N10" authorId="0" shapeId="0" xr:uid="{00000000-0006-0000-0200-000011000000}">
      <text>
        <r>
          <rPr>
            <sz val="9"/>
            <color indexed="81"/>
            <rFont val="Tahoma"/>
            <family val="2"/>
          </rPr>
          <t>Estimates post-development impervious surface cover, in acres, within the drainage area.  Accounts for lands in-transition and full build out of project.</t>
        </r>
      </text>
    </comment>
    <comment ref="O10" authorId="0" shapeId="0" xr:uid="{00000000-0006-0000-0200-000012000000}">
      <text>
        <r>
          <rPr>
            <sz val="9"/>
            <color indexed="81"/>
            <rFont val="Tahoma"/>
            <family val="2"/>
          </rPr>
          <t>The percentage of the drainage area that is impervious in the pre-development condition 
=Column K/ Column J</t>
        </r>
      </text>
    </comment>
    <comment ref="P10" authorId="0" shapeId="0" xr:uid="{00000000-0006-0000-0200-000013000000}">
      <text>
        <r>
          <rPr>
            <sz val="9"/>
            <color indexed="81"/>
            <rFont val="Tahoma"/>
            <family val="2"/>
          </rPr>
          <t>The percentage of the drainage area that is impervious in the pre-development condition 
=Column L/ Column J</t>
        </r>
      </text>
    </comment>
    <comment ref="AC10" authorId="0" shapeId="0" xr:uid="{00000000-0006-0000-0200-000014000000}">
      <text>
        <r>
          <rPr>
            <sz val="9"/>
            <color indexed="81"/>
            <rFont val="Tahoma"/>
            <family val="2"/>
          </rPr>
          <t xml:space="preserve">Values for MTDs from Stormwater Clearinghouse.
</t>
        </r>
      </text>
    </comment>
    <comment ref="AE10" authorId="0" shapeId="0" xr:uid="{00000000-0006-0000-0200-000015000000}">
      <text>
        <r>
          <rPr>
            <sz val="9"/>
            <color indexed="81"/>
            <rFont val="Tahoma"/>
            <family val="2"/>
          </rPr>
          <t>Uses a lookup function to determine efficiency referencing the "Efficiency Lookup" tab. If plan approved-efficiencies are used for MTDs, values are input manually.</t>
        </r>
      </text>
    </comment>
    <comment ref="AG10" authorId="0" shapeId="0" xr:uid="{00000000-0006-0000-0200-000016000000}">
      <text>
        <r>
          <rPr>
            <sz val="9"/>
            <color indexed="81"/>
            <rFont val="Tahoma"/>
            <family val="2"/>
          </rPr>
          <t>Uses a lookup function to determine efficiency referencing the "Efficiency Lookup" tab.</t>
        </r>
      </text>
    </comment>
    <comment ref="AI10" authorId="0" shapeId="0" xr:uid="{00000000-0006-0000-0200-000017000000}">
      <text>
        <r>
          <rPr>
            <sz val="9"/>
            <color indexed="81"/>
            <rFont val="Tahoma"/>
            <family val="2"/>
          </rPr>
          <t>Uses a lookup function to determine efficiency referencing the "Efficiency Lookup" tab.</t>
        </r>
      </text>
    </comment>
    <comment ref="AM10" authorId="0" shapeId="0" xr:uid="{00000000-0006-0000-0200-000018000000}">
      <text>
        <r>
          <rPr>
            <sz val="9"/>
            <color indexed="81"/>
            <rFont val="Tahoma"/>
            <family val="2"/>
          </rPr>
          <t>Subtracts the max BMP reduction by Lbs to mitigate (column S).</t>
        </r>
      </text>
    </comment>
    <comment ref="AN10" authorId="0" shapeId="0" xr:uid="{00000000-0006-0000-0200-000019000000}">
      <text>
        <r>
          <rPr>
            <sz val="9"/>
            <color indexed="81"/>
            <rFont val="Tahoma"/>
            <family val="2"/>
          </rPr>
          <t>Net P Credit/total onsite reduction (%)</t>
        </r>
      </text>
    </comment>
    <comment ref="AS10" authorId="0" shapeId="0" xr:uid="{00000000-0006-0000-0200-00001A000000}">
      <text>
        <r>
          <rPr>
            <sz val="9"/>
            <color indexed="81"/>
            <rFont val="Tahoma"/>
            <family val="2"/>
          </rPr>
          <t xml:space="preserve">Determines the method that yield the max reduction of Nitrogen.  If the phosphorus calculating uses the Blue Book value, then either the CBP efficiency or Retrofit curve can be used.  If phosphorus uses the CBP effiiciency or Retrofit curve, Nitrogen calculations use the same method. </t>
        </r>
      </text>
    </comment>
    <comment ref="AU10" authorId="0" shapeId="0" xr:uid="{00000000-0006-0000-0200-00001B000000}">
      <text>
        <r>
          <rPr>
            <sz val="9"/>
            <color indexed="81"/>
            <rFont val="Tahoma"/>
            <family val="2"/>
          </rPr>
          <t xml:space="preserve">Max BMP reduction x Percent available for Credit (column AF).
</t>
        </r>
      </text>
    </comment>
    <comment ref="AZ10" authorId="0" shapeId="0" xr:uid="{00000000-0006-0000-0200-00001C000000}">
      <text>
        <r>
          <rPr>
            <sz val="9"/>
            <color indexed="81"/>
            <rFont val="Tahoma"/>
            <family val="2"/>
          </rPr>
          <t>Selects the CBP or Retrofit curve value based on whichever method nitrogen used.</t>
        </r>
      </text>
    </comment>
    <comment ref="BB10" authorId="0" shapeId="0" xr:uid="{00000000-0006-0000-0200-00001D000000}">
      <text>
        <r>
          <rPr>
            <sz val="9"/>
            <color indexed="81"/>
            <rFont val="Tahoma"/>
            <family val="2"/>
          </rPr>
          <t>Max BMP reduction x Percent available for Credit (column AF).</t>
        </r>
      </text>
    </comment>
    <comment ref="BF10" authorId="0" shapeId="0" xr:uid="{00000000-0006-0000-0200-00001E000000}">
      <text>
        <r>
          <rPr>
            <sz val="9"/>
            <color indexed="81"/>
            <rFont val="Tahoma"/>
            <family val="2"/>
          </rPr>
          <t>Indicates a type of special situation that is found in Appendix XX.</t>
        </r>
      </text>
    </comment>
    <comment ref="BG10" authorId="0" shapeId="0" xr:uid="{00000000-0006-0000-0200-00001F000000}">
      <text>
        <r>
          <rPr>
            <sz val="9"/>
            <color indexed="81"/>
            <rFont val="Tahoma"/>
            <family val="2"/>
          </rPr>
          <t>Additional comments about each site.</t>
        </r>
      </text>
    </comment>
    <comment ref="N16" authorId="1" shapeId="0" xr:uid="{00000000-0006-0000-0200-000020000000}">
      <text>
        <r>
          <rPr>
            <b/>
            <sz val="9"/>
            <color indexed="81"/>
            <rFont val="Tahoma"/>
            <family val="2"/>
          </rPr>
          <t>gharper:</t>
        </r>
        <r>
          <rPr>
            <sz val="9"/>
            <color indexed="81"/>
            <rFont val="Tahoma"/>
            <family val="2"/>
          </rPr>
          <t xml:space="preserve">
doesn't include future impervious areas of 213,000 sf</t>
        </r>
      </text>
    </comment>
    <comment ref="F192" authorId="0" shapeId="0" xr:uid="{00000000-0006-0000-0200-000021000000}">
      <text>
        <r>
          <rPr>
            <sz val="9"/>
            <color indexed="81"/>
            <rFont val="Tahoma"/>
            <family val="2"/>
          </rPr>
          <t>Don't know what kind of filterra placed so used convervative estimate of 4x6.</t>
        </r>
      </text>
    </comment>
    <comment ref="Y243" authorId="2" shapeId="0" xr:uid="{AFD69DCD-CF01-4CFB-853D-D3BC0EB1BDCD}">
      <text>
        <t>[Threaded comment]
Your version of Excel allows you to read this threaded comment; however, any edits to it will get removed if the file is opened in a newer version of Excel. Learn more: https://go.microsoft.com/fwlink/?linkid=870924
Comment:
    Treatment unspecified in plans and taken from BayFilter documentation for cartridges corresponding to flow rate provided on plans: 
https://baysaver.com/wp-content/uploads/2018/04/BayFilter-Design-Manual-Hi-res-12-17.pdf</t>
      </text>
    </comment>
    <comment ref="Y244" authorId="3" shapeId="0" xr:uid="{AE8DEDDE-0322-4121-B47D-C2E979A2CD66}">
      <text>
        <t>[Threaded comment]
Your version of Excel allows you to read this threaded comment; however, any edits to it will get removed if the file is opened in a newer version of Excel. Learn more: https://go.microsoft.com/fwlink/?linkid=870924
Comment:
    Treatment unspecified in plans and taken from BayFilter documentation for cartridges corresponding to flow rate provided on plans: 
https://baysaver.com/wp-content/uploads/2018/04/BayFilter-Design-Manual-Hi-res-12-17.pdf</t>
      </text>
    </comment>
    <comment ref="Y254" authorId="4" shapeId="0" xr:uid="{9097F4B2-0F04-45B7-8A96-E7A0A16AC0DF}">
      <text>
        <t>[Threaded comment]
Your version of Excel allows you to read this threaded comment; however, any edits to it will get removed if the file is opened in a newer version of Excel. Learn more: https://go.microsoft.com/fwlink/?linkid=870924
Comment:
    Treatment unspecified in plans and taken from BayFilter documentation for cartridges corresponding to flow rate provided on plans: 
https://baysaver.com/wp-content/uploads/2018/04/BayFilter-Design-Manual-Hi-res-12-17.pdf</t>
      </text>
    </comment>
    <comment ref="Y255" authorId="5" shapeId="0" xr:uid="{919E3817-2969-42D0-81C2-4913342D3CF9}">
      <text>
        <t>[Threaded comment]
Your version of Excel allows you to read this threaded comment; however, any edits to it will get removed if the file is opened in a newer version of Excel. Learn more: https://go.microsoft.com/fwlink/?linkid=870924
Comment:
    Treatment unspecified in plans and taken from BayFilter documentation for cartridges corresponding to flow rate provided on plans: 
https://baysaver.com/wp-content/uploads/2018/04/BayFilter-Design-Manual-Hi-res-12-17.pdf</t>
      </text>
    </comment>
    <comment ref="Y256" authorId="6" shapeId="0" xr:uid="{AA1698DD-E32A-42DC-9DF1-8D24CE9FAE4D}">
      <text>
        <t>[Threaded comment]
Your version of Excel allows you to read this threaded comment; however, any edits to it will get removed if the file is opened in a newer version of Excel. Learn more: https://go.microsoft.com/fwlink/?linkid=870924
Comment:
    Treatment unspecified in plans and taken from BayFilter documentation for cartridges corresponding to flow rate provided on plans: 
https://baysaver.com/wp-content/uploads/2018/04/BayFilter-Design-Manual-Hi-res-12-17.pdf</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scalos</author>
  </authors>
  <commentList>
    <comment ref="AA16" authorId="0" shapeId="0" xr:uid="{00000000-0006-0000-0400-000001000000}">
      <text>
        <r>
          <rPr>
            <b/>
            <sz val="9"/>
            <color indexed="81"/>
            <rFont val="Tahoma"/>
            <family val="2"/>
          </rPr>
          <t>scalos:</t>
        </r>
        <r>
          <rPr>
            <sz val="9"/>
            <color indexed="81"/>
            <rFont val="Tahoma"/>
            <family val="2"/>
          </rPr>
          <t xml:space="preserve">
Efficiency of existing dry detention basin is subtracted from retrofitted wetlands.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echudoba</author>
  </authors>
  <commentList>
    <comment ref="AE3" authorId="0" shapeId="0" xr:uid="{31FFB92F-3CF0-45AD-94C9-189372DE2199}">
      <text>
        <r>
          <rPr>
            <sz val="9"/>
            <color indexed="81"/>
            <rFont val="Tahoma"/>
            <family val="2"/>
          </rPr>
          <t xml:space="preserve">If in a regulated area, "max credit" = pounds removed. If unregulated, "max credit" = amount removed beyond baseline.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echudoba</author>
    <author>scalos</author>
  </authors>
  <commentList>
    <comment ref="AG8" authorId="0" shapeId="0" xr:uid="{00000000-0006-0000-0700-000001000000}">
      <text>
        <r>
          <rPr>
            <sz val="9"/>
            <color indexed="81"/>
            <rFont val="Tahoma"/>
            <family val="2"/>
          </rPr>
          <t>This block of cells determines the nitrogen loading by calculating the lbs removed usign either the CBP efficiencies or retrofit curves (medium blue area).  Then determines the method that yields that max reduction and calculates credit available (dark blue).</t>
        </r>
      </text>
    </comment>
    <comment ref="AL8" authorId="0" shapeId="0" xr:uid="{00000000-0006-0000-0700-000002000000}">
      <text>
        <r>
          <rPr>
            <sz val="9"/>
            <color indexed="81"/>
            <rFont val="Tahoma"/>
            <family val="2"/>
          </rPr>
          <t>This block of cells determines the sediment loading by calculating the lbs removed usign either the CBP efficiencies or retrofit curves (medium blue area).  Then determines the method that yields that max reduction and method used for nitrogren and calculates credit available (dark blue).</t>
        </r>
      </text>
    </comment>
    <comment ref="R9" authorId="1" shapeId="0" xr:uid="{00000000-0006-0000-0700-000003000000}">
      <text>
        <r>
          <rPr>
            <b/>
            <sz val="9"/>
            <color indexed="81"/>
            <rFont val="Tahoma"/>
            <family val="2"/>
          </rPr>
          <t>Based on James River EOS Loading Rates</t>
        </r>
        <r>
          <rPr>
            <sz val="9"/>
            <color indexed="81"/>
            <rFont val="Tahoma"/>
            <family val="2"/>
          </rPr>
          <t xml:space="preserve">
</t>
        </r>
      </text>
    </comment>
    <comment ref="S9" authorId="1" shapeId="0" xr:uid="{00000000-0006-0000-0700-000004000000}">
      <text>
        <r>
          <rPr>
            <b/>
            <sz val="9"/>
            <color indexed="81"/>
            <rFont val="Tahoma"/>
            <family val="2"/>
          </rPr>
          <t>Based on James River EOS Loading Rates</t>
        </r>
      </text>
    </comment>
    <comment ref="T9" authorId="1" shapeId="0" xr:uid="{00000000-0006-0000-0700-000005000000}">
      <text>
        <r>
          <rPr>
            <b/>
            <sz val="9"/>
            <color indexed="81"/>
            <rFont val="Tahoma"/>
            <family val="2"/>
          </rPr>
          <t>Based on James River EOS Loading Rates</t>
        </r>
      </text>
    </comment>
    <comment ref="E10" authorId="0" shapeId="0" xr:uid="{00000000-0006-0000-0700-000006000000}">
      <text>
        <r>
          <rPr>
            <sz val="9"/>
            <color indexed="81"/>
            <rFont val="Tahoma"/>
            <family val="2"/>
          </rPr>
          <t>Refers to the file number in Albemarle County's Water Resources Department SMF files, if 1 the practice is not completed and is a estimate of what the site plans expect to practice to be.</t>
        </r>
      </text>
    </comment>
    <comment ref="G10" authorId="0" shapeId="0" xr:uid="{00000000-0006-0000-0700-000007000000}">
      <text>
        <r>
          <rPr>
            <sz val="9"/>
            <color indexed="81"/>
            <rFont val="Tahoma"/>
            <family val="2"/>
          </rPr>
          <t>Columns D through H designate the BMP Type for the different efficiency sources.</t>
        </r>
      </text>
    </comment>
    <comment ref="L10" authorId="0" shapeId="0" xr:uid="{00000000-0006-0000-0700-000008000000}">
      <text>
        <r>
          <rPr>
            <sz val="9"/>
            <color indexed="81"/>
            <rFont val="Tahoma"/>
            <family val="2"/>
          </rPr>
          <t xml:space="preserve">"TT" means the practice in part of a treatment train and the loads reduced by that BMP are subtracted from the next BMP in line.  </t>
        </r>
      </text>
    </comment>
    <comment ref="X10" authorId="0" shapeId="0" xr:uid="{00000000-0006-0000-0700-000009000000}">
      <text>
        <r>
          <rPr>
            <sz val="9"/>
            <color indexed="81"/>
            <rFont val="Tahoma"/>
            <family val="2"/>
          </rPr>
          <t xml:space="preserve">BMP Efficiency based on SWM Clearinghouse for MTDs. </t>
        </r>
      </text>
    </comment>
    <comment ref="Z10" authorId="0" shapeId="0" xr:uid="{00000000-0006-0000-0700-00000A000000}">
      <text>
        <r>
          <rPr>
            <sz val="9"/>
            <color indexed="81"/>
            <rFont val="Tahoma"/>
            <family val="2"/>
          </rPr>
          <t>Uses a lookup function to determine efficiency referencing the "Efficiency Lookup" tab.</t>
        </r>
      </text>
    </comment>
    <comment ref="AB10" authorId="0" shapeId="0" xr:uid="{00000000-0006-0000-0700-00000B000000}">
      <text>
        <r>
          <rPr>
            <sz val="9"/>
            <color indexed="81"/>
            <rFont val="Tahoma"/>
            <family val="2"/>
          </rPr>
          <t>Uses a lookup function to determine efficiency referencing the "Efficiency Lookup" tab.</t>
        </r>
      </text>
    </comment>
    <comment ref="AD10" authorId="0" shapeId="0" xr:uid="{00000000-0006-0000-0700-00000C000000}">
      <text>
        <r>
          <rPr>
            <sz val="9"/>
            <color indexed="81"/>
            <rFont val="Tahoma"/>
            <family val="2"/>
          </rPr>
          <t>Uses a lookup function to determine efficiency referencing the "Efficiency Lookup" tab.</t>
        </r>
      </text>
    </comment>
    <comment ref="AF10" authorId="0" shapeId="0" xr:uid="{00000000-0006-0000-0700-00000D000000}">
      <text>
        <r>
          <rPr>
            <sz val="9"/>
            <color indexed="81"/>
            <rFont val="Tahoma"/>
            <family val="2"/>
          </rPr>
          <t>Equation picks the largest value between the Blue Book/plan approved efficiency, CBP efficiency, Clearinghouse efficiency, and Retrofit Curve lbs/yr removed.</t>
        </r>
      </text>
    </comment>
    <comment ref="AK10" authorId="0" shapeId="0" xr:uid="{00000000-0006-0000-0700-00000E000000}">
      <text>
        <r>
          <rPr>
            <sz val="9"/>
            <color indexed="81"/>
            <rFont val="Tahoma"/>
            <family val="2"/>
          </rPr>
          <t xml:space="preserve">Determines the method that yield the max reduction of Nitrogen.  If the phosphorus calculating uses the Blue Book value, then either the CBP efficiency or Retrofit curve can be used.  If phosphorus uses the CBP effiiciency or Retrofit curve, Nitrogen calculations use the same method. </t>
        </r>
      </text>
    </comment>
    <comment ref="AP10" authorId="0" shapeId="0" xr:uid="{00000000-0006-0000-0700-00000F000000}">
      <text>
        <r>
          <rPr>
            <sz val="9"/>
            <color indexed="81"/>
            <rFont val="Tahoma"/>
            <family val="2"/>
          </rPr>
          <t>Selects the CBP or Retrofit curve value based on whichever method nitrogen used.</t>
        </r>
      </text>
    </comment>
  </commentList>
</comments>
</file>

<file path=xl/sharedStrings.xml><?xml version="1.0" encoding="utf-8"?>
<sst xmlns="http://schemas.openxmlformats.org/spreadsheetml/2006/main" count="3776" uniqueCount="967">
  <si>
    <t>Confirmation Statement</t>
  </si>
  <si>
    <t xml:space="preserve">This Excel spreadsheet contains a list of Chesapeake Bay TMDL action plan BMPs, not including annual practices, implemented prior to the reporting period. The list includes the following information: the number of BMPs for each BMP type, the estimated reduction of pollutants of concern achieved by each BMP type and reported in pounds of pollutant reduction per year; and this confirmation statement that the permittee electronically reported the Chesapeake Bay TMDL action plan BMPs inspected using the DEQ BMP Warehouse in accordance with Part III B 5 of the MS4 general permit. 
This Excel Spreadsheet is an updated version of the accounting spreadsheet that was initially submitted to DEQ as a component of Albemarle County's County’s First Phase Chesapeake Bay TMDL Action Plan. </t>
  </si>
  <si>
    <r>
      <t>Please see the "</t>
    </r>
    <r>
      <rPr>
        <b/>
        <sz val="11"/>
        <color theme="5"/>
        <rFont val="Calibri"/>
        <family val="2"/>
        <scheme val="minor"/>
      </rPr>
      <t>Nutrient Accounting Overview</t>
    </r>
    <r>
      <rPr>
        <sz val="11"/>
        <color theme="1"/>
        <rFont val="Calibri"/>
        <family val="2"/>
        <scheme val="minor"/>
      </rPr>
      <t>" tab first. The values in this tab draw from other tabs in the spreadsheet.</t>
    </r>
  </si>
  <si>
    <t>Nutrient Accounting Overview</t>
  </si>
  <si>
    <t>Type</t>
  </si>
  <si>
    <t>Phosphorus (lbs/yr)</t>
  </si>
  <si>
    <t>Nitrogen (lbs/yr)</t>
  </si>
  <si>
    <t>Total Suspended Solids (lbs/yr)</t>
  </si>
  <si>
    <t>First permit (5%) Required Reductions</t>
  </si>
  <si>
    <t>Second permit (total of 40%) Required Reductions</t>
  </si>
  <si>
    <t>Total (100%) Required Reductions</t>
  </si>
  <si>
    <t>Reduction Credits</t>
  </si>
  <si>
    <t>New and Grandfathered Sources</t>
  </si>
  <si>
    <t>Structural BMPs</t>
  </si>
  <si>
    <t>Stream Restorations</t>
  </si>
  <si>
    <t>BMPs installed after January 1, 2006 and prior to July 1, 2009</t>
  </si>
  <si>
    <t>Connection of septic systems to sanitary sewer</t>
  </si>
  <si>
    <t>Nutrient Management Plans</t>
  </si>
  <si>
    <t>Total Reductions Achieved</t>
  </si>
  <si>
    <t>Total Reductions Remaining</t>
  </si>
  <si>
    <t>Total % Reductions Achieved</t>
  </si>
  <si>
    <t>Long-term projects</t>
  </si>
  <si>
    <t>Excess Credit for 2nd Cycle:</t>
  </si>
  <si>
    <t>Table 5.1. Completed Capital Improvement Project POC Removal Totals and Costs</t>
  </si>
  <si>
    <t>Site Name</t>
  </si>
  <si>
    <t>BMP Type</t>
  </si>
  <si>
    <t>Lat</t>
  </si>
  <si>
    <t>Long</t>
  </si>
  <si>
    <t>P 
(lb/yr)</t>
  </si>
  <si>
    <t>N 
(lb/yr)</t>
  </si>
  <si>
    <t>TSS
(lb/yr)</t>
  </si>
  <si>
    <t>Total Cost*</t>
  </si>
  <si>
    <t>Totals</t>
  </si>
  <si>
    <t>Septic Disconnection</t>
  </si>
  <si>
    <t>42 total households</t>
  </si>
  <si>
    <t>Average # of people/household in Alb. Co.</t>
  </si>
  <si>
    <t>Nitrogen/year/person</t>
  </si>
  <si>
    <t>Total TN Reduction</t>
  </si>
  <si>
    <t>373.5 lbs TN</t>
  </si>
  <si>
    <t>Chesapeake Bay TMDL Existing Source Source Pollutant Load Calculations</t>
  </si>
  <si>
    <t>Offset due to Land Use as of June 30, 2009</t>
  </si>
  <si>
    <t>Within the 2010 Census Regulated Area</t>
  </si>
  <si>
    <t>March 2015</t>
  </si>
  <si>
    <t>Table 2a: Calculation Sheet for Determining Total POC Reductions Required During this Permit Cycle for the James River Basin</t>
  </si>
  <si>
    <t xml:space="preserve">2010 Census </t>
  </si>
  <si>
    <t>Subsource</t>
  </si>
  <si>
    <t>Pollutant</t>
  </si>
  <si>
    <t>Total Existing Acres Served by MS4 (6/30/09)</t>
  </si>
  <si>
    <t>2009 EOS Loading Rate (lbs/acre/yr)</t>
  </si>
  <si>
    <t>Est. Total POC Load</t>
  </si>
  <si>
    <t>First Permit Cycle Required Reduction in Loading Rate (lbs/acre/yr)</t>
  </si>
  <si>
    <t>Total Reduction Required First Permit Cycle (lbs)</t>
  </si>
  <si>
    <t>Total</t>
  </si>
  <si>
    <t>Regulated Urban Impervious</t>
  </si>
  <si>
    <t>Nitrogen</t>
  </si>
  <si>
    <t>Regulated Urban Pervious</t>
  </si>
  <si>
    <t>Phosphorus</t>
  </si>
  <si>
    <t>Total Suspended Solids</t>
  </si>
  <si>
    <t>Table 3a: Calculation Sheet for Determining Total POC Reductions Required During this Permit Cycle for the James River Basin</t>
  </si>
  <si>
    <t>First Permit Cycle Required Reduction in Loading Rate (lbs/acre)</t>
  </si>
  <si>
    <t>Second Permit Cycle Required Reductions in Loading Rate (lbs/acre)</t>
  </si>
  <si>
    <t>Reductions Required</t>
  </si>
  <si>
    <t>TOTAL (40%)</t>
  </si>
  <si>
    <t>POC</t>
  </si>
  <si>
    <t>VA WIP Reductions</t>
  </si>
  <si>
    <t>2009 James River EOS Loading Rate (lbs/acr-yr)</t>
  </si>
  <si>
    <t>Reductions (lbs/ac-yr)</t>
  </si>
  <si>
    <r>
      <t>Total            (2013-2028)</t>
    </r>
    <r>
      <rPr>
        <b/>
        <sz val="11"/>
        <color indexed="8"/>
        <rFont val="Calibri"/>
        <family val="2"/>
      </rPr>
      <t xml:space="preserve"> 100%</t>
    </r>
  </si>
  <si>
    <r>
      <t xml:space="preserve">1st - cycle                      (2013-2018)                         </t>
    </r>
    <r>
      <rPr>
        <b/>
        <sz val="11"/>
        <color indexed="8"/>
        <rFont val="Calibri"/>
        <family val="2"/>
      </rPr>
      <t>5%</t>
    </r>
  </si>
  <si>
    <r>
      <t xml:space="preserve">2nd-cycle    (2018-2023)    </t>
    </r>
    <r>
      <rPr>
        <b/>
        <sz val="11"/>
        <color indexed="8"/>
        <rFont val="Calibri"/>
        <family val="2"/>
      </rPr>
      <t>35%</t>
    </r>
  </si>
  <si>
    <r>
      <t xml:space="preserve">3rd-cycle    (2023-2028)   </t>
    </r>
    <r>
      <rPr>
        <b/>
        <sz val="11"/>
        <color indexed="8"/>
        <rFont val="Calibri"/>
        <family val="2"/>
      </rPr>
      <t>60%</t>
    </r>
  </si>
  <si>
    <t>Required POC reductions based on Table 3a of the General Permit</t>
  </si>
  <si>
    <t>Total Existing Area Served by MS4 (ac)</t>
  </si>
  <si>
    <t>Total Required Reduction in Loading Rate (lbs/ac-yr)</t>
  </si>
  <si>
    <t>Total Reduction Required              1st - 3rd Cycle                           (lbs/yr)</t>
  </si>
  <si>
    <t>Existing Source Regulated Land Use</t>
  </si>
  <si>
    <t>Albemarle County</t>
  </si>
  <si>
    <t>January 2015</t>
  </si>
  <si>
    <t>2010 Census Urban Area</t>
  </si>
  <si>
    <t>Acres</t>
  </si>
  <si>
    <t>pervious</t>
  </si>
  <si>
    <t>impervious</t>
  </si>
  <si>
    <t>Total Regulated</t>
  </si>
  <si>
    <t>Table 3.1 Albemarle County MS4 Service Area Exclusion and Inclusion Areas</t>
  </si>
  <si>
    <t>Area (ac)</t>
  </si>
  <si>
    <t>Albemarle County Boundary</t>
  </si>
  <si>
    <t>2010 Census Urbanized Area</t>
  </si>
  <si>
    <t>Exclusion Areas:</t>
  </si>
  <si>
    <t>Other MS4 Permittees             (excluding VDOT)</t>
  </si>
  <si>
    <t>VPDES Permits</t>
  </si>
  <si>
    <t>VDOT Roads</t>
  </si>
  <si>
    <t>Forest</t>
  </si>
  <si>
    <t>Water</t>
  </si>
  <si>
    <t>Inclusion Areas:</t>
  </si>
  <si>
    <t>County Properties in the City</t>
  </si>
  <si>
    <t>Total Regulated Acres</t>
  </si>
  <si>
    <t>Regulated Pervious</t>
  </si>
  <si>
    <t>Regulated Impervious</t>
  </si>
  <si>
    <t>2009 Land Use</t>
  </si>
  <si>
    <t>Included</t>
  </si>
  <si>
    <t>Excluded</t>
  </si>
  <si>
    <t>Pervious</t>
  </si>
  <si>
    <t>Impervious</t>
  </si>
  <si>
    <t>Open Water</t>
  </si>
  <si>
    <t>Total=</t>
  </si>
  <si>
    <t>MS4 Exclusions:</t>
  </si>
  <si>
    <t>Charlottesville City Owned Properties</t>
  </si>
  <si>
    <t>UVA</t>
  </si>
  <si>
    <t>PVCC</t>
  </si>
  <si>
    <t xml:space="preserve">VDOT MS4 </t>
  </si>
  <si>
    <t>Charlottesville-Albemarle Airport</t>
  </si>
  <si>
    <t xml:space="preserve">Total = </t>
  </si>
  <si>
    <t>604.4 acres</t>
  </si>
  <si>
    <t>Total area regulated =</t>
  </si>
  <si>
    <t>367.9 acres</t>
  </si>
  <si>
    <t>Industrial Impervious =</t>
  </si>
  <si>
    <t>14.2 acres</t>
  </si>
  <si>
    <t>Northrop Grumman Systems Corportation</t>
  </si>
  <si>
    <t>18.7 acres</t>
  </si>
  <si>
    <t>6.35 acres</t>
  </si>
  <si>
    <t xml:space="preserve">Industrial Pervious = </t>
  </si>
  <si>
    <t>0.01 ac</t>
  </si>
  <si>
    <t>Republic Services of Charlottesville</t>
  </si>
  <si>
    <t>1.6 acres</t>
  </si>
  <si>
    <t>0.7 acres</t>
  </si>
  <si>
    <t>0.1 acres</t>
  </si>
  <si>
    <t>Moores Creek Regional STP</t>
  </si>
  <si>
    <t>64.3 acres</t>
  </si>
  <si>
    <t>11.7 acres</t>
  </si>
  <si>
    <t>(0.6 acres New)</t>
  </si>
  <si>
    <t>6.1 acres</t>
  </si>
  <si>
    <t xml:space="preserve">Total Acreage Excluded = </t>
  </si>
  <si>
    <t>452.5 acres</t>
  </si>
  <si>
    <t>Special Scenario</t>
  </si>
  <si>
    <t>Description of Circumstances</t>
  </si>
  <si>
    <t>Description of Pollutant Reduction Accounting</t>
  </si>
  <si>
    <t>Rationale</t>
  </si>
  <si>
    <t>Computation Description</t>
  </si>
  <si>
    <t>Applicable Projects</t>
  </si>
  <si>
    <t>1                                           Land In Transition</t>
  </si>
  <si>
    <t>A:                                                                                A new development – or a discrete phase of a larger development – is initiated prior to July 1, 2009 but not completed until after that date.</t>
  </si>
  <si>
    <t>This development is considered “in transition” and the entirety is considered as a new source. Subsequently, the impervious areas existing on July 1, 2009 are not considered in the existing source computations per Section 1.C.2.a.(5).</t>
  </si>
  <si>
    <t>The impervious areas are not considered as existing sources to avoid counting these areas twice – as both existing and new sources.  Per DEQ guidance document page 5: “use the pre-construction land use as the baseline.”</t>
  </si>
  <si>
    <t>N/A</t>
  </si>
  <si>
    <t>Abington Place (HTC), Avemore Phase III, Avon Park Phase I, Belvedere Phase I North, Country Green Cottages, Kenridge, Pavilions at Pantops, Martha Jefferson Hospital, Townhouses at Berkshire landing</t>
  </si>
  <si>
    <t>B:                                                                                 A new development – or a discrete phase of a larger development – is initiated between July 1, 2009 and June 30, 2014 but not completed until after June 30, 2014.</t>
  </si>
  <si>
    <t>This development is considered “in transition” and the entire project – including estimates of areas remaining to be built – is considered as a new source.</t>
  </si>
  <si>
    <t>The areas remaining to be built after June 30, 2014 are part of the permitted development and must be estimated based on the final site plan and accounted for as a new source.</t>
  </si>
  <si>
    <t>Briarwood, Avemore Phase IV, Avinity, Briarwood, Dunlora Forest, Estes Park, Kenridge, Northtown Center, Stonefield, Pavilions at Pantops, Treesdale/Stonewater, Willow Glen Phase 1 and 2</t>
  </si>
  <si>
    <t>2                                           BMP Design</t>
  </si>
  <si>
    <r>
      <t xml:space="preserve">A:                                                                                A new BMP provides water quality treatment for existing, </t>
    </r>
    <r>
      <rPr>
        <i/>
        <sz val="11"/>
        <color indexed="8"/>
        <rFont val="Calibri"/>
        <family val="2"/>
      </rPr>
      <t>offsite</t>
    </r>
    <r>
      <rPr>
        <sz val="11"/>
        <color indexed="8"/>
        <rFont val="Calibri"/>
        <family val="2"/>
      </rPr>
      <t xml:space="preserve"> sources in addition to new onsite sources.</t>
    </r>
  </si>
  <si>
    <t>Drainage areas for the BMP are used and existing impervious cover is included in the post development impervious cover for pollutant load calculations.</t>
  </si>
  <si>
    <t>The County must consider pollutant reductions from any existing, offsite sources per Section 1.C.2.a.(5). The treatment of existing offsite sources by a private entity is given full credit for any pollutant reductions generated.</t>
  </si>
  <si>
    <t>New development load reductions are calculated based on disturbed area and new impervious surface for the new development.  BMP load reductions take existing offsite regulated impervious and turf cover into account for the imperviousness of the watershed.</t>
  </si>
  <si>
    <t>Arden Place, Estes Park, Kenridge, Pavilions at Pantops, Treesdale/stonewater</t>
  </si>
  <si>
    <t>B:                                                                                New construction contains a new BMP that drains to an existing BMP which was built for construction completed before the new source time frame.</t>
  </si>
  <si>
    <t>New source loads are calculated based on changes to land use occurring between July 1, 2009 and June 30, 2014.</t>
  </si>
  <si>
    <t>The entire area is new development, and SMFs were required for the entire project.</t>
  </si>
  <si>
    <t>An imperviousness value is calculated for the entire BMP watershed. A smaller watershed is determined for the new development based on the new impervious surface.</t>
  </si>
  <si>
    <t>Hollymead Town Center</t>
  </si>
  <si>
    <t>C:                                                                                 A new development includes a new BMP designed to include either grandfathered or future development.</t>
  </si>
  <si>
    <t>The new development and BMP are accounted for but not the future development.</t>
  </si>
  <si>
    <t>Any future development will be subject to new SW standards and must be reviewed and permitted by the County (not grandfathered). Any effect on the computations will be considered when the development is permitted.</t>
  </si>
  <si>
    <t>Future development is not reflected in the “impervious area, post-dev” cell (column L).</t>
  </si>
  <si>
    <t>Avinity Phase II (permitted for new regs), Avon Park Phase II, Belvedere phase II (grandfathered), Northtown Center</t>
  </si>
  <si>
    <t>3                                       Existing Impervious Surface</t>
  </si>
  <si>
    <t>A:                                                                                A development has existing impervious surfaces onsite that are not disturbed for the new development, and the new development was not covered under the same construction permit as the older portion.</t>
  </si>
  <si>
    <t>Calculate new source loads based on a disturbed area boundary that does not include the existing sources.</t>
  </si>
  <si>
    <t>Only new sources are considered for changes to nutrient load because existing sources are already accounted for.</t>
  </si>
  <si>
    <t>The disturbed area is used to calculate nutrient load increase.  If the BMP was built for the new source and treats existing impervious on or offsite, then the entire drainage area is use to determine load reductions.  If the BMP was built for the older portion and serves the new development, only the new development disturbed area is used in the load reduction calculations.</t>
  </si>
  <si>
    <t>Avemore, Kenridge, Montgomery Ridge (new clump) Mill Creek Offices, Northtown Center, Peabody, St. Anne’s-Belfield.</t>
  </si>
  <si>
    <t>B:                                                                                 A development has existing impervious surfaces onsite that are not disturbed for the new development, and the new development is covered under the same construction permit as the older portion of development.</t>
  </si>
  <si>
    <t>If construction had fully stopped and then resumed as some point after 2009, the new portion is considered a new source of pollution, and disturbed area boundary does not include existing sources.</t>
  </si>
  <si>
    <t>Email from Kelsey Brooks (1/26/15)</t>
  </si>
  <si>
    <t>The disturbed area for the new portion is used to calculate nutrient loading and BMP reductions rates.</t>
  </si>
  <si>
    <t>Bending Branch, Montgomery Ridge (old portion), Willow Lake View</t>
  </si>
  <si>
    <t>C:                                                                                   A development has existing impervious surfaces that will be removed for the new development.</t>
  </si>
  <si>
    <t>Per DEQ guidance Situation 2 (b)</t>
  </si>
  <si>
    <t>The required pollutant load to mitigate is based on the initial load or the 16% average land cover condition, whichever is greater (column U determines which value is greater).</t>
  </si>
  <si>
    <t>Airport, Avinity, Charlottesville-Waldorf, Crown BMW, Hollymead Elementary, Rivanna Plaza, Stonefield, Treesdale Park/Stonewater, Willow Glen Phase 2</t>
  </si>
  <si>
    <t>4                                            VDOT</t>
  </si>
  <si>
    <t>Roadways that are part of new development are to be dedicated to VDOT.</t>
  </si>
  <si>
    <t>The VDOT roadway areas will be considered in the new sources computations.</t>
  </si>
  <si>
    <t>Although the VDOT roadways and associated drainage infrastructure are not part of the County MS4, the BMPs that serve the roadways are. Any pollution reduction deficiencies or credits associated with the stormwater facilities will be accrued by the County.</t>
  </si>
  <si>
    <t>VDOT roads included in post- development impervious cover.</t>
  </si>
  <si>
    <t>All single family housing developments</t>
  </si>
  <si>
    <t>5                                                   MS4 Boundary</t>
  </si>
  <si>
    <t>A new development is partially within the County MS4 and partially within Charlottesville’s MS4, with the BMP located in Charlottesville.</t>
  </si>
  <si>
    <t>No pollutant reductions are required for the County. Changes to pollutant loads are to be accounted for by the City.</t>
  </si>
  <si>
    <t>BMPs in Charlottesville are designed to the 16% average land cover condition.  No additional mitigation is required.</t>
  </si>
  <si>
    <t>Lochlyn Hills</t>
  </si>
  <si>
    <t>6                                           Regulated Area Border</t>
  </si>
  <si>
    <t>A new development lies partially within and partially outside of the regulated area.</t>
  </si>
  <si>
    <t>Only the portion within the regulated area is used to calculate required nutrient reductions under special condition 7, but the whole site within the BMP drainage area is used to calculate provided nutrient reductions.</t>
  </si>
  <si>
    <t>The county is only responsible for offsetting new sources within the regulated area but can take credit for nutrient load reductions in the unregulated area beyond baseline requirements (baseline is 0.45 lbs TP/ac/yr)</t>
  </si>
  <si>
    <t>The parcel area and new impervious surface area within the regulated area are used to determine required nutrient reductions.  The entire watershed and impervious surface area within and outside the regulated area are used to calculate the reductions from onsite BMPs.</t>
  </si>
  <si>
    <t>Airport Runway Extension 21, Martha Jefferson Hospital</t>
  </si>
  <si>
    <t>7                                    Unregulated Forest Area</t>
  </si>
  <si>
    <t>Site contains undisturbed unregulated forested areas.</t>
  </si>
  <si>
    <t>Forested areas greater than 0.5 acres are not included in the regulated area and are therefore removed from both the site area and the BMP watershed area.</t>
  </si>
  <si>
    <t>Forested areas are unregulated and can’t take credit for nutrient reductions unless it is included in existing load calculations.</t>
  </si>
  <si>
    <t>Briarwood, Montgomery Ridge, bending branch</t>
  </si>
  <si>
    <t>8                                           Grandfathered land disturbing activities
(construction initiation in 2015-2016 permit year)</t>
  </si>
  <si>
    <t>A:                                                                                 A grandfathered project is initiated between July 1, 2015 and June 30, 2016.</t>
  </si>
  <si>
    <t xml:space="preserve">The areas remaining to be built after June 30, 2016 and the impact of associated BMPs are part of the permitted development and  accounted for as a new source based on the approved site plans. </t>
  </si>
  <si>
    <t>9
Newly Recognized  BMPs for previously accounted new development</t>
  </si>
  <si>
    <t xml:space="preserve">A:                                                                                 A bond was released in the 2015-2016 permit year for a BMP associated with a land disturbing activity which occurred between July 1, 2009 and June 30, 2014. The land disturbing activity was previously accounted for, but the POC offsets for the mitigating BMPs was not previously accounted for. </t>
  </si>
  <si>
    <t xml:space="preserve">Pollution reduction associated with newly implemented BMPs is calculated using the same methods for new sources in the "new sources" section of this spreadsheed. </t>
  </si>
  <si>
    <t xml:space="preserve">Both the development and the BMP are consistent with the definition of "new sources" in the Guidance Document and should therefore be accounted as such. </t>
  </si>
  <si>
    <t>Chesapeake Bay TMDL Pollutant Load Calculations</t>
  </si>
  <si>
    <t>Offset due to Land Development from July 1, 2009 to June 30, 2020</t>
  </si>
  <si>
    <t>required reduction (P)</t>
  </si>
  <si>
    <t>New =</t>
  </si>
  <si>
    <t>Using the Simple Method to determine loading rates</t>
  </si>
  <si>
    <t xml:space="preserve">GF= </t>
  </si>
  <si>
    <t>[input cells in blue]</t>
  </si>
  <si>
    <t>Site Disturbed Area or BMP Drainage Area     (ac)</t>
  </si>
  <si>
    <t>Impervious Area (ac)</t>
  </si>
  <si>
    <t>Imperviousness (%)</t>
  </si>
  <si>
    <t>Pollutant Load (lbs/yr)</t>
  </si>
  <si>
    <t>BMP Specifications</t>
  </si>
  <si>
    <t>TSS</t>
  </si>
  <si>
    <t>Net Credits</t>
  </si>
  <si>
    <r>
      <rPr>
        <sz val="11"/>
        <color indexed="10"/>
        <rFont val="Calibri"/>
        <family val="2"/>
      </rPr>
      <t>(comments enbedded within cells)</t>
    </r>
    <r>
      <rPr>
        <sz val="11"/>
        <color theme="1"/>
        <rFont val="Calibri"/>
        <family val="2"/>
        <scheme val="minor"/>
      </rPr>
      <t xml:space="preserve">
Project Name</t>
    </r>
  </si>
  <si>
    <t>Location</t>
  </si>
  <si>
    <t>Avg. Land Cover Condition (16%)</t>
  </si>
  <si>
    <t>Actual
Pre-Dev</t>
  </si>
  <si>
    <t xml:space="preserve">Allowable Limit </t>
  </si>
  <si>
    <t>Actual
Post-Dev P</t>
  </si>
  <si>
    <t>Actual
Post-Dev N</t>
  </si>
  <si>
    <t>Actual
Post-Dev TSS</t>
  </si>
  <si>
    <t>Pollutant Load to Mitigate (lbs/yr) P</t>
  </si>
  <si>
    <t>RR/ST</t>
  </si>
  <si>
    <t>WQV Provided (CF)</t>
  </si>
  <si>
    <t>Total IC in BMP Watershed (ac)</t>
  </si>
  <si>
    <t>Runoff Depth (inches)</t>
  </si>
  <si>
    <t>Clearinghouse Efficiency</t>
  </si>
  <si>
    <t xml:space="preserve">Blue Book / Approved Plan Efficiency   </t>
  </si>
  <si>
    <t>CBP Established Efficiency</t>
  </si>
  <si>
    <t>Retrofit Curve Efficiency</t>
  </si>
  <si>
    <t>Total onsite reduction</t>
  </si>
  <si>
    <t>Latitude</t>
  </si>
  <si>
    <t>Longitude</t>
  </si>
  <si>
    <t>BMP #</t>
  </si>
  <si>
    <t>BMP Type Add'l Info</t>
  </si>
  <si>
    <t>Clearinghouse Type</t>
  </si>
  <si>
    <t>Plan-approved type (1999 Stormwater Management Handbook)</t>
  </si>
  <si>
    <t>CBP Type</t>
  </si>
  <si>
    <t>Status</t>
  </si>
  <si>
    <t>Pre-Dev</t>
  </si>
  <si>
    <t>Post-Dev</t>
  </si>
  <si>
    <t>Soil Type</t>
  </si>
  <si>
    <t>(%) Efficiency</t>
  </si>
  <si>
    <t>P    (lbs/yr)</t>
  </si>
  <si>
    <t>Max BMP reduction</t>
  </si>
  <si>
    <t>Net P Credit (lbs/yr)</t>
  </si>
  <si>
    <t>Percent Available for Credit</t>
  </si>
  <si>
    <t xml:space="preserve"> N      (lbs/yr)      </t>
  </si>
  <si>
    <t xml:space="preserve"> Net N Credit      (lbs/yr)       </t>
  </si>
  <si>
    <t xml:space="preserve"> TSS      (lbs/yr)      </t>
  </si>
  <si>
    <t xml:space="preserve"> Net TSS Credit      (lbs/yr)       </t>
  </si>
  <si>
    <t>P     (lbs/yr)</t>
  </si>
  <si>
    <t xml:space="preserve"> TSS       (lbs/yr)       </t>
  </si>
  <si>
    <t>Special Situation #</t>
  </si>
  <si>
    <t>Comments</t>
  </si>
  <si>
    <t>ALBEMARLE COUNTY TOTALS:</t>
  </si>
  <si>
    <t>lbs P/ac/yr</t>
  </si>
  <si>
    <t>NEW</t>
  </si>
  <si>
    <t xml:space="preserve"> </t>
  </si>
  <si>
    <t>GF</t>
  </si>
  <si>
    <t>Arden Place</t>
  </si>
  <si>
    <t>additional pollutant loads</t>
  </si>
  <si>
    <t>2A</t>
  </si>
  <si>
    <t>additional pollutant loads due to development, doesn't include existing offsite</t>
  </si>
  <si>
    <t>Wet_Pond</t>
  </si>
  <si>
    <t>Type III</t>
  </si>
  <si>
    <t>1999 Retention Basin III (67-100%)</t>
  </si>
  <si>
    <t>CBP Wet Pond and Wetlands</t>
  </si>
  <si>
    <t>ST</t>
  </si>
  <si>
    <t>A</t>
  </si>
  <si>
    <t>pollutant reduction due to BMP; includes pollutant reductions for existing offsite</t>
  </si>
  <si>
    <t>Bioretention</t>
  </si>
  <si>
    <t>Type II</t>
  </si>
  <si>
    <t>1999 Bioretention II (1.0 in rainfall)</t>
  </si>
  <si>
    <t>CBP Bioretention C/D soils</t>
  </si>
  <si>
    <t>RR</t>
  </si>
  <si>
    <t>B/D</t>
  </si>
  <si>
    <t>pollutant reduction due to BMP</t>
  </si>
  <si>
    <t>367.04-8</t>
  </si>
  <si>
    <t>Proprietary</t>
  </si>
  <si>
    <t>Filterra x 4 (6x8)</t>
  </si>
  <si>
    <t>Filterra</t>
  </si>
  <si>
    <t>TT</t>
  </si>
  <si>
    <t>Detention</t>
  </si>
  <si>
    <t>u/g detention</t>
  </si>
  <si>
    <t>NA</t>
  </si>
  <si>
    <t>B</t>
  </si>
  <si>
    <t/>
  </si>
  <si>
    <t>Avemore</t>
  </si>
  <si>
    <t>1A, 1B, 3A</t>
  </si>
  <si>
    <t>additional pollutant loads due to development</t>
  </si>
  <si>
    <t>old</t>
  </si>
  <si>
    <t>Avinity</t>
  </si>
  <si>
    <t xml:space="preserve">1B, 2A, 2C, 3C </t>
  </si>
  <si>
    <t>additional pollutant loads due to development, only includes phase 1</t>
  </si>
  <si>
    <t>pollutant reduction due to BMP, includes phase 1 of new development</t>
  </si>
  <si>
    <t>Belvedere Phase I South</t>
  </si>
  <si>
    <t>Belvedere Phase I North</t>
  </si>
  <si>
    <t>1A, 2C</t>
  </si>
  <si>
    <t>Facility #3</t>
  </si>
  <si>
    <t>with forebay</t>
  </si>
  <si>
    <t>C</t>
  </si>
  <si>
    <t>Facility #4</t>
  </si>
  <si>
    <t>pollutant reduction due to BMP, could include part of phase 2</t>
  </si>
  <si>
    <t>Facility #5</t>
  </si>
  <si>
    <t>CBP Bioretention A/B soils</t>
  </si>
  <si>
    <t>Belvedere Phase II (grandfathered)</t>
  </si>
  <si>
    <t>additional pollutant load due to development, some IC in transition</t>
  </si>
  <si>
    <t>Bending Branch</t>
  </si>
  <si>
    <t>3B, 7</t>
  </si>
  <si>
    <t>old facility in good standing</t>
  </si>
  <si>
    <t>Briarwood (New)</t>
  </si>
  <si>
    <t>1B</t>
  </si>
  <si>
    <t>Phase 8 (Pond#1)</t>
  </si>
  <si>
    <t>Phase 8 and 1A (Pond #2)</t>
  </si>
  <si>
    <t>Phase 1B (Pond #3)</t>
  </si>
  <si>
    <t>pollutant reduction due to BMP, only includes portion in phase 1B</t>
  </si>
  <si>
    <t>Briarwood (Grandfathered)</t>
  </si>
  <si>
    <t>Phase 5 (Pond #3)</t>
  </si>
  <si>
    <t>pollutant reduction due to BMP, only includes portion in phase 5</t>
  </si>
  <si>
    <t>Phase 5 (Vegetative Filter Strip)</t>
  </si>
  <si>
    <t>Swales</t>
  </si>
  <si>
    <t>Veg. Filter Strip</t>
  </si>
  <si>
    <t>1999 Vegetated Swale I (0.5 in rainfall)</t>
  </si>
  <si>
    <t xml:space="preserve">CBP Bioswale </t>
  </si>
  <si>
    <t>Phase 6 (Pond #5)</t>
  </si>
  <si>
    <t>Phase 6 (Grass Swale)</t>
  </si>
  <si>
    <t>1999 Grassed Swale</t>
  </si>
  <si>
    <t>Gas Station and Parking (Filterra)</t>
  </si>
  <si>
    <t>Filterra x2 (6x10)</t>
  </si>
  <si>
    <t>Charlottesville Waldorf School</t>
  </si>
  <si>
    <t>3C</t>
  </si>
  <si>
    <t>Type I</t>
  </si>
  <si>
    <t>1999 Bioretention I (0.5 in rainfall)</t>
  </si>
  <si>
    <t>Country Green Cottages</t>
  </si>
  <si>
    <t>1A</t>
  </si>
  <si>
    <t>Crown BMW</t>
  </si>
  <si>
    <t>NONE</t>
  </si>
  <si>
    <t>R</t>
  </si>
  <si>
    <t>9A</t>
  </si>
  <si>
    <t>additional pollutant loads due to redevelopment plus additional IC, NO SMF</t>
  </si>
  <si>
    <t>Filterra 4x8</t>
  </si>
  <si>
    <t>Stormfilter</t>
  </si>
  <si>
    <t>Filterra 4 x 6</t>
  </si>
  <si>
    <t>Filterra 4x6</t>
  </si>
  <si>
    <t>Underground Detention</t>
  </si>
  <si>
    <t>Dunlora Forest</t>
  </si>
  <si>
    <t>extended detention</t>
  </si>
  <si>
    <t>1999 Extented Detention (IC 22-37%)</t>
  </si>
  <si>
    <t xml:space="preserve">CBP Dry Extended Detention Ponds </t>
  </si>
  <si>
    <t>D</t>
  </si>
  <si>
    <t>Dunlora Gates</t>
  </si>
  <si>
    <t>Estes Park</t>
  </si>
  <si>
    <t>Enhanced ext. detention</t>
  </si>
  <si>
    <t>1999 Enhanced Extented Detention (IC 38-66%)</t>
  </si>
  <si>
    <t>pollutant reduction due to BMP, some offsite area included.</t>
  </si>
  <si>
    <t>Grass swale x 2</t>
  </si>
  <si>
    <t>1999 Water Quality Swale</t>
  </si>
  <si>
    <t>Flow Automotive</t>
  </si>
  <si>
    <t>6x10</t>
  </si>
  <si>
    <t>6x12</t>
  </si>
  <si>
    <t>6x6</t>
  </si>
  <si>
    <t xml:space="preserve">Use whole parcel as project boundary. </t>
  </si>
  <si>
    <t>Infiltration</t>
  </si>
  <si>
    <t>All BMPs drain to underground infiltrating RainTank</t>
  </si>
  <si>
    <t>1999 Infiltration with 0.5 in of runoff storage</t>
  </si>
  <si>
    <t xml:space="preserve">CBP Infiltration Practices w/o Sand, Veg. </t>
  </si>
  <si>
    <t>Greenbriar 7-11</t>
  </si>
  <si>
    <t>additional pollutant loads (Redevelopment)</t>
  </si>
  <si>
    <t>additional pollutant loads due to development, some IC increase with post-dev condition but less than 1 acre AND less than 16% IC so still taking full credit for entire site</t>
  </si>
  <si>
    <t>Filterra (6x8)</t>
  </si>
  <si>
    <t>Urban</t>
  </si>
  <si>
    <t xml:space="preserve">Hollymead Abington Place </t>
  </si>
  <si>
    <t>Abington Place SMF</t>
  </si>
  <si>
    <t xml:space="preserve">Hollymead Towncenter </t>
  </si>
  <si>
    <t>2B</t>
  </si>
  <si>
    <t>Area A</t>
  </si>
  <si>
    <t>Type I  x 4</t>
  </si>
  <si>
    <t>Regional Facility #3</t>
  </si>
  <si>
    <t>Hollymead Townhouses (Area C Block 5 and 4)</t>
  </si>
  <si>
    <t>Regional Facility #2</t>
  </si>
  <si>
    <t>pollutant reduction due to BMP, partially outside RA</t>
  </si>
  <si>
    <t>Hollymead Towncenter (Area C Block 9)</t>
  </si>
  <si>
    <t>Regional Facility #1</t>
  </si>
  <si>
    <t>Kenridge</t>
  </si>
  <si>
    <t xml:space="preserve">1A, 1B, 3A </t>
  </si>
  <si>
    <t>392.02-03,05-06</t>
  </si>
  <si>
    <t>Filterra x 4 (6x6)</t>
  </si>
  <si>
    <t>Type 1</t>
  </si>
  <si>
    <t>392.01, 392.04</t>
  </si>
  <si>
    <t>pollutant reduction due to BMP, 2.9 acres offsite</t>
  </si>
  <si>
    <t>Kingdom Hall of the Jehovah Witness</t>
  </si>
  <si>
    <t>Luxor Office Complex</t>
  </si>
  <si>
    <t>additional pollutant loads due to development, included in Pavilions SMF</t>
  </si>
  <si>
    <t>Martha Jefferson Health Services OCC at Profit Road</t>
  </si>
  <si>
    <t>additional pollutant loads due to development, includes some new development outside RA to account for baseline on that IC.</t>
  </si>
  <si>
    <t>Bioretention A</t>
  </si>
  <si>
    <t>pollutant reduction due to BMP, some area outsite RA</t>
  </si>
  <si>
    <t>Bioretention B</t>
  </si>
  <si>
    <t>Bioretention C</t>
  </si>
  <si>
    <t>FB4</t>
  </si>
  <si>
    <t>1999 Filterra (Tree Box Filter)</t>
  </si>
  <si>
    <t>FB1</t>
  </si>
  <si>
    <t>10x6</t>
  </si>
  <si>
    <t>FB2</t>
  </si>
  <si>
    <t>4x6</t>
  </si>
  <si>
    <t>FB3</t>
  </si>
  <si>
    <t>4x8</t>
  </si>
  <si>
    <t>Martha Jefferson Hospital</t>
  </si>
  <si>
    <t>1A, 6</t>
  </si>
  <si>
    <t>Mill Creek Offices</t>
  </si>
  <si>
    <t>3A</t>
  </si>
  <si>
    <t>additional pollutant loads due to development, only includes new development</t>
  </si>
  <si>
    <t>Bioswale</t>
  </si>
  <si>
    <t>Montgomery Ridge</t>
  </si>
  <si>
    <t>3A, 7</t>
  </si>
  <si>
    <t>additional pollutant loads due to development, includes all development on site</t>
  </si>
  <si>
    <t>pollutant reduction due to BMP, only includes "new" portion</t>
  </si>
  <si>
    <t>Monticello High School</t>
  </si>
  <si>
    <t>.</t>
  </si>
  <si>
    <t>Northtown Center</t>
  </si>
  <si>
    <t>Olivia and Sons</t>
  </si>
  <si>
    <t>Peabody School</t>
  </si>
  <si>
    <t>additional pollutant loads due to new development, only accounts for new IC added</t>
  </si>
  <si>
    <t>Poplar Glen</t>
  </si>
  <si>
    <t>Rivanna Plaza</t>
  </si>
  <si>
    <t>410.03,410.04,410.05</t>
  </si>
  <si>
    <t>Filterra x3 (6x6)</t>
  </si>
  <si>
    <t>Hydrodynamic Separator</t>
  </si>
  <si>
    <t>CBP Hydrodynamic Structure/Separator</t>
  </si>
  <si>
    <t>Sharon L Hostler</t>
  </si>
  <si>
    <t>396.02-03</t>
  </si>
  <si>
    <t>Exfiltration from u/g detntion</t>
  </si>
  <si>
    <t>1999 Infiltration with 1.0 in of runoff storage</t>
  </si>
  <si>
    <t xml:space="preserve">CBP Infiltration Practices w/ Sand, Veg. </t>
  </si>
  <si>
    <t>St. Anne's-Belfield School</t>
  </si>
  <si>
    <t>additional pollutant loads due to development, only includes new IC</t>
  </si>
  <si>
    <t>226.01 and .04</t>
  </si>
  <si>
    <t>Stonefield (New)</t>
  </si>
  <si>
    <t>Stonefield (Grandfathered)</t>
  </si>
  <si>
    <t>additional pollutant load due to development, grandfathered phase initiated construction</t>
  </si>
  <si>
    <t>Stonefield Total</t>
  </si>
  <si>
    <t>1B, 3C</t>
  </si>
  <si>
    <t>additional pollutant loads due to development, includes grandfathered portion</t>
  </si>
  <si>
    <t>South Facility</t>
  </si>
  <si>
    <t>Filterra x 20</t>
  </si>
  <si>
    <t>prior to vortech/stormfilter South</t>
  </si>
  <si>
    <t>Stormfilter / vortech</t>
  </si>
  <si>
    <t>pollutant reduction due to BMP, doesn't include adjacent Northrop Group bc excluded land under VDPES permit</t>
  </si>
  <si>
    <t>North Facility</t>
  </si>
  <si>
    <t>Filterra x 25</t>
  </si>
  <si>
    <t>Stormfilter / Vortech</t>
  </si>
  <si>
    <t>Sutherland/Hollymead Elementary</t>
  </si>
  <si>
    <t>Redevelopment</t>
  </si>
  <si>
    <t>Filterra (10x6)</t>
  </si>
  <si>
    <t>The Pavilions at Pantops (phase 1-3)</t>
  </si>
  <si>
    <t xml:space="preserve">1A, 1B, 2A </t>
  </si>
  <si>
    <t>additional pollutant loads due to development, includes offsite Luxor Development</t>
  </si>
  <si>
    <t>*includes Luxor complex in SMF load reduction calcs.</t>
  </si>
  <si>
    <t>pollutant reduction due to BMP, includes offsite acreages (Luxor and others)</t>
  </si>
  <si>
    <t>W</t>
  </si>
  <si>
    <t>pollutant reduction due to BMP, includes offsite acreages (Westminster Canterbury) and some area outside the RA</t>
  </si>
  <si>
    <t>Townhouse at Berkshire Landing</t>
  </si>
  <si>
    <t>334.01-.06</t>
  </si>
  <si>
    <t>Filterra x 6 (6x4)</t>
  </si>
  <si>
    <t>Treesdale Park/Stonewater</t>
  </si>
  <si>
    <t>additional pollutant loads (redevelopment)</t>
  </si>
  <si>
    <t>1B, 2A, 3C</t>
  </si>
  <si>
    <t>pollutant reduction due to BMP; includes some existing offsite area</t>
  </si>
  <si>
    <t>Walmart</t>
  </si>
  <si>
    <t>335.01, 03-08</t>
  </si>
  <si>
    <t>Filterra x 8 (4x6)</t>
  </si>
  <si>
    <t>pollutant reduction due to BMP, doesn't treat new development treats equivalent IC elsewhere on site</t>
  </si>
  <si>
    <t>Westminster Canterbury</t>
  </si>
  <si>
    <t>additional pollutant loads due to development, mostly treated by older BMPs</t>
  </si>
  <si>
    <t>Contech Stormfilter</t>
  </si>
  <si>
    <t>Willow Glen Phase 1 and 2 (New)</t>
  </si>
  <si>
    <t>additional pollutant loads due to new development</t>
  </si>
  <si>
    <t>Willow Glen Phase 3 (Grandfathered)</t>
  </si>
  <si>
    <t>additional pollutant loads due to grandfathered development</t>
  </si>
  <si>
    <t>Willow Glen Total</t>
  </si>
  <si>
    <t>additional pollutant loads total development</t>
  </si>
  <si>
    <t>Bio-det. Pond Phase 1</t>
  </si>
  <si>
    <t>Wet Pond Phase 2/3</t>
  </si>
  <si>
    <t>Biofilter #1  Phase 2</t>
  </si>
  <si>
    <t>Biofilter #2 Phase 3</t>
  </si>
  <si>
    <t xml:space="preserve">CBP Bioretention A/B soils, no underdrain </t>
  </si>
  <si>
    <t>Willow Lake View</t>
  </si>
  <si>
    <t>3B</t>
  </si>
  <si>
    <t>additional pollutant loads due to development, only includes new portion of development</t>
  </si>
  <si>
    <t>pollutant reduction due to BMP, only calculated for new development not whole watershed</t>
  </si>
  <si>
    <t>GRANDFATHERED PROJECTS INITIATED AFTER JULY 1 2015</t>
  </si>
  <si>
    <t>5th Street Station</t>
  </si>
  <si>
    <t>470.01-470.44</t>
  </si>
  <si>
    <t>Filterra (5 10x6, 2 12x6, 4 13x7, 2 6x4, 2 6x6, 2 8x4, 5 8x6)</t>
  </si>
  <si>
    <t>470.16,470.46,470.47,470.18,470.09,470.54,470.53,470.52,470.51,470.50,470.49,470.55,470.56,470.51</t>
  </si>
  <si>
    <t>Filtering_Practices</t>
  </si>
  <si>
    <t>Sand filters x 14</t>
  </si>
  <si>
    <t>1999 Sand Filters (0.5 in of runoff)</t>
  </si>
  <si>
    <t xml:space="preserve">CBP Filtering Practices </t>
  </si>
  <si>
    <t>8A</t>
  </si>
  <si>
    <t>470.58,470.59</t>
  </si>
  <si>
    <t>extended detention X 2</t>
  </si>
  <si>
    <t>Albemarle Health and Rehabilitation Center</t>
  </si>
  <si>
    <t>Chick Fil A</t>
  </si>
  <si>
    <t>Filterra 6x12</t>
  </si>
  <si>
    <t>Church of Our Savior</t>
  </si>
  <si>
    <t>Goodwill at Mill Creek</t>
  </si>
  <si>
    <t>Water Quality Credits Purchased</t>
  </si>
  <si>
    <t>Jim Price Chevrolet</t>
  </si>
  <si>
    <t>Northside Library</t>
  </si>
  <si>
    <t>Pantops Corner Mass Grading</t>
  </si>
  <si>
    <t>Rolkin Rd Retail Center</t>
  </si>
  <si>
    <t>The Lofts at Meadow Creek</t>
  </si>
  <si>
    <t>Agnor Hurt Elementary School Renovations and Additions</t>
  </si>
  <si>
    <t>Baysaver Filter Cartridge</t>
  </si>
  <si>
    <t>1999 Baysaver</t>
  </si>
  <si>
    <t>Cascadia</t>
  </si>
  <si>
    <t>38.041651</t>
  </si>
  <si>
    <t>Wet Pond</t>
  </si>
  <si>
    <t>1999 Retention Basin I (IC 22-37%)</t>
  </si>
  <si>
    <t>Biofilter</t>
  </si>
  <si>
    <t>WQ Swale</t>
  </si>
  <si>
    <t>Oakleigh</t>
  </si>
  <si>
    <t>Missed on previous reports. Construction iniated in Construction iniated in 08/2017.</t>
  </si>
  <si>
    <t>Permeable_Pvmt</t>
  </si>
  <si>
    <t>Permeable pavement</t>
  </si>
  <si>
    <t>n/a</t>
  </si>
  <si>
    <t xml:space="preserve">CBP Permeable Pavement w/o Sand, Veg. C/D soils, underdrain </t>
  </si>
  <si>
    <t>Hollymead 230kV</t>
  </si>
  <si>
    <t>404.02-404.05</t>
  </si>
  <si>
    <t>Wetsel Property Surplus Soil Disposal Area</t>
  </si>
  <si>
    <t>(comments enbedded within cells)</t>
  </si>
  <si>
    <t>Total Pounds Removed</t>
  </si>
  <si>
    <t>Regulated Drainage Area (ac)</t>
  </si>
  <si>
    <t>Unregulated Drainage Area (ac)</t>
  </si>
  <si>
    <t>Forested  Ag. And open water Drainage Area (ac)</t>
  </si>
  <si>
    <t>Landuse Ratios</t>
  </si>
  <si>
    <t xml:space="preserve">Total reductions for regulated and unregulated urban lands.  </t>
  </si>
  <si>
    <t>Baseline Reductions from unregulated land</t>
  </si>
  <si>
    <t>Total unregulated credit available</t>
  </si>
  <si>
    <t>Total Project Credit</t>
  </si>
  <si>
    <t>Regulated</t>
  </si>
  <si>
    <t>Unregulated</t>
  </si>
  <si>
    <t>Forested</t>
  </si>
  <si>
    <t xml:space="preserve">
Project Name</t>
  </si>
  <si>
    <t>Practice</t>
  </si>
  <si>
    <t>Year Completed</t>
  </si>
  <si>
    <t>Length</t>
  </si>
  <si>
    <t xml:space="preserve">N      (lbs/yr)      </t>
  </si>
  <si>
    <t xml:space="preserve">TSS       (lbs/yr)       </t>
  </si>
  <si>
    <t xml:space="preserve">Impervious Drainage Area </t>
  </si>
  <si>
    <t>Pervious Drainage Area</t>
  </si>
  <si>
    <t>P (lb/yr)</t>
  </si>
  <si>
    <t>N (lb/yr)</t>
  </si>
  <si>
    <t>TSS (lb/yr)</t>
  </si>
  <si>
    <t xml:space="preserve">P (lbs/yr) </t>
  </si>
  <si>
    <t xml:space="preserve">N (lbs/yr) </t>
  </si>
  <si>
    <t xml:space="preserve">TSS (lbs/yr) </t>
  </si>
  <si>
    <t xml:space="preserve">Step 1. Calculate total removal credits. </t>
  </si>
  <si>
    <t>Step 2. - Divide landcover between regulated, unregulated, and forested.</t>
  </si>
  <si>
    <t xml:space="preserve">Step 3. - Calculate ratio of unregulated lands draining to project. </t>
  </si>
  <si>
    <t xml:space="preserve">Step 4. Subtract baseline deduction from unregulated areas. </t>
  </si>
  <si>
    <t xml:space="preserve">Step 6 - add up forested, regulated, and remaining unregulated credit. </t>
  </si>
  <si>
    <t>Control measures installed / initiated prior to July 1, 2018</t>
  </si>
  <si>
    <t>Crozet Stream Restoration</t>
  </si>
  <si>
    <t>Stream Restoration (Interim Rate)</t>
  </si>
  <si>
    <t>Four Seasons Channel</t>
  </si>
  <si>
    <t>Stream Restoration (Protocols 1 and 2)</t>
  </si>
  <si>
    <t>Control measures installed / initiated between July 1, 2018 and June 30, 2019:</t>
  </si>
  <si>
    <t>RiverRun Stream Restoration</t>
  </si>
  <si>
    <t>0*</t>
  </si>
  <si>
    <t>*City of Charlottesville Claimed all Nitrogen Credit for this Project</t>
  </si>
  <si>
    <t>Chapel Hills Stream Restoration</t>
  </si>
  <si>
    <t>Chesapeake Bay Stream Restoration TMDL Pollutant Reduction Calculations</t>
  </si>
  <si>
    <t>Reductions due to implemented Capital Projects in Albemarle County</t>
  </si>
  <si>
    <t>Using the James River EOS loading rates</t>
  </si>
  <si>
    <t>If Retrofit - enter downward modification for initial BMP</t>
  </si>
  <si>
    <t>Drainage Area (ac)</t>
  </si>
  <si>
    <t>Pollutant Removal Provided by BMPs Retrofit Curve Efficiency</t>
  </si>
  <si>
    <t>Pollutant Removal Provided by BMPs CBP Efficiency</t>
  </si>
  <si>
    <t>Pounds Removed</t>
  </si>
  <si>
    <t>Baseline Reductions (due to structural BMP on regulated land)</t>
  </si>
  <si>
    <t>Practice TMDL Credit</t>
  </si>
  <si>
    <t>Select CBP Type</t>
  </si>
  <si>
    <t>BMP On Regulated Land?</t>
  </si>
  <si>
    <t>Forested Drainage Area</t>
  </si>
  <si>
    <t>Avg. Land Cover Condition 16%                    (lbs P/yr)</t>
  </si>
  <si>
    <t>Actual P Load (lb/yr)</t>
  </si>
  <si>
    <t>Actual N Load (lb/yr)</t>
  </si>
  <si>
    <t>Actual TSS Load (lb/yr)</t>
  </si>
  <si>
    <t>(%) P</t>
  </si>
  <si>
    <t>P          (lbs/yr)</t>
  </si>
  <si>
    <t>(%) N</t>
  </si>
  <si>
    <t>(%) TSS</t>
  </si>
  <si>
    <t>P  (lbs/yr))</t>
  </si>
  <si>
    <t>Hard Cost</t>
  </si>
  <si>
    <t>Soft Cost</t>
  </si>
  <si>
    <t>Total Cost</t>
  </si>
  <si>
    <t>Cost/Lb P</t>
  </si>
  <si>
    <t>COB-McIntire</t>
  </si>
  <si>
    <t xml:space="preserve">Bioretention Basin </t>
  </si>
  <si>
    <t>Y</t>
  </si>
  <si>
    <t>Church Road</t>
  </si>
  <si>
    <t>Existing Detention Basin</t>
  </si>
  <si>
    <t>CBP Dry Detention Ponds</t>
  </si>
  <si>
    <t>Constructed Wetlands</t>
  </si>
  <si>
    <t>Wetlands</t>
  </si>
  <si>
    <t>Western Albemarle High School</t>
  </si>
  <si>
    <t>Bioretention Basin</t>
  </si>
  <si>
    <t>N</t>
  </si>
  <si>
    <t>Woodbrook Lagoon</t>
  </si>
  <si>
    <t>Constructed Wetlands &amp; Sand Filter</t>
  </si>
  <si>
    <t>Offset BMPs installed between Jan 1, 2006 and prior to new source BMPs</t>
  </si>
  <si>
    <t>Using the James River EOS Loading Rates</t>
  </si>
  <si>
    <t>BMP Drainage Area</t>
  </si>
  <si>
    <t>Blue Book / Approved Plan Efficiency</t>
  </si>
  <si>
    <t>HSG</t>
  </si>
  <si>
    <t>BMP Install Date</t>
  </si>
  <si>
    <t>Perviuos area (ac)</t>
  </si>
  <si>
    <t>Forested area (ac)</t>
  </si>
  <si>
    <t>Imperv. %</t>
  </si>
  <si>
    <t>BMP P Reduction</t>
  </si>
  <si>
    <t>Total Historical BMP Credit</t>
  </si>
  <si>
    <t>P</t>
  </si>
  <si>
    <t xml:space="preserve">Barclay Place Apartments </t>
  </si>
  <si>
    <t>0331.01_02</t>
  </si>
  <si>
    <t>Filterras x 2 (6x4 and 8x4)</t>
  </si>
  <si>
    <t xml:space="preserve">Broadway Court </t>
  </si>
  <si>
    <t>Brown Auto Park</t>
  </si>
  <si>
    <t>0270.01-16</t>
  </si>
  <si>
    <t>4x6 (x7), 6x6 (x7), 6x12 (x1), 8x4 (x1)</t>
  </si>
  <si>
    <t>Rainwater_Harvesting</t>
  </si>
  <si>
    <t>rainwater harvesting</t>
  </si>
  <si>
    <t>Browns Auto @ Pantops</t>
  </si>
  <si>
    <t>na</t>
  </si>
  <si>
    <t>Cale Elementary School</t>
  </si>
  <si>
    <t>C/D</t>
  </si>
  <si>
    <t>Car Max Auto</t>
  </si>
  <si>
    <t>0314.01_02</t>
  </si>
  <si>
    <t>2 sand filters treat entire site</t>
  </si>
  <si>
    <t xml:space="preserve">Carriage Gate Apartments </t>
  </si>
  <si>
    <t>Charlottesville Veterinary Hospital</t>
  </si>
  <si>
    <t>6x6 filterra</t>
  </si>
  <si>
    <t>Chick-Fil-A</t>
  </si>
  <si>
    <t>Filterra 6x4</t>
  </si>
  <si>
    <t>Commonwealth Greenbrier Center</t>
  </si>
  <si>
    <t>Filterra 8x4</t>
  </si>
  <si>
    <t>Dan's Auto Mart</t>
  </si>
  <si>
    <t>Deerwood Subdivision</t>
  </si>
  <si>
    <t>Dennis Enterprises</t>
  </si>
  <si>
    <t>Dominion Office Park</t>
  </si>
  <si>
    <t>CBP Filterra (filtering practice)</t>
  </si>
  <si>
    <t>Dunlora</t>
  </si>
  <si>
    <t>Forest Lakes South</t>
  </si>
  <si>
    <t>CBP Detention Basin</t>
  </si>
  <si>
    <t>Glenwood Station</t>
  </si>
  <si>
    <t>0301.02_03</t>
  </si>
  <si>
    <t>2 facilities treat this DA</t>
  </si>
  <si>
    <t>All BMPs drain to 301.04</t>
  </si>
  <si>
    <t>Greenbrier Station</t>
  </si>
  <si>
    <t>0423.01_02_03_04</t>
  </si>
  <si>
    <t>Filterra (6x4,x4)</t>
  </si>
  <si>
    <t>0423.05_06</t>
  </si>
  <si>
    <t>Filterra (6x4, x2)</t>
  </si>
  <si>
    <t>0423.07_08</t>
  </si>
  <si>
    <t>0423.09_10</t>
  </si>
  <si>
    <t>0423.11_12</t>
  </si>
  <si>
    <t>0380.01_02</t>
  </si>
  <si>
    <t>Filterra (6x6)</t>
  </si>
  <si>
    <t>0380.05_06</t>
  </si>
  <si>
    <t>Filterra (6x12)</t>
  </si>
  <si>
    <t>0380.07_08</t>
  </si>
  <si>
    <t>Jefferson Quarry Building</t>
  </si>
  <si>
    <t>Jefferson Ridge Apartments</t>
  </si>
  <si>
    <t>Kappa Sigma Headquarters</t>
  </si>
  <si>
    <t xml:space="preserve">Lifecare Medical Transports </t>
  </si>
  <si>
    <t>Maple Grove Church</t>
  </si>
  <si>
    <t>Martha Jefferson Medical Phase II</t>
  </si>
  <si>
    <t>u/g detention. Treatment Train - after 254.01</t>
  </si>
  <si>
    <t>u/g detention. Treatment Train - after 254.02</t>
  </si>
  <si>
    <t>Meadows @ Mountainwood</t>
  </si>
  <si>
    <t>Mill Creek Village Homes II</t>
  </si>
  <si>
    <t>Nissan Building</t>
  </si>
  <si>
    <t>Filterra (12x6)</t>
  </si>
  <si>
    <t>Oak Hill</t>
  </si>
  <si>
    <t>Park View at South Pantops</t>
  </si>
  <si>
    <t>0264.06_07</t>
  </si>
  <si>
    <t>6x6 (X2)</t>
  </si>
  <si>
    <t>Pantops Park</t>
  </si>
  <si>
    <t>Filterra (8x6)</t>
  </si>
  <si>
    <t>0350.03_04</t>
  </si>
  <si>
    <t>Filterra (8x4, x2)</t>
  </si>
  <si>
    <t>Pantops Place</t>
  </si>
  <si>
    <t>Pewter Court</t>
  </si>
  <si>
    <t>0378.01_02</t>
  </si>
  <si>
    <t>0128.02_03</t>
  </si>
  <si>
    <t>Filterra (4x6, x2)</t>
  </si>
  <si>
    <t>Filterra (4x6)</t>
  </si>
  <si>
    <t>0128.06_07</t>
  </si>
  <si>
    <t>Filterra (6x6, x2)</t>
  </si>
  <si>
    <t>Region Ten Mountainwood</t>
  </si>
  <si>
    <t>Rio Office Associates Building</t>
  </si>
  <si>
    <t>Rio Road Laser Wash</t>
  </si>
  <si>
    <t>Schewel Fruniture Company</t>
  </si>
  <si>
    <t>Underground detention</t>
  </si>
  <si>
    <t xml:space="preserve">Service Master </t>
  </si>
  <si>
    <t>Snow's Avon St</t>
  </si>
  <si>
    <t>SPCA</t>
  </si>
  <si>
    <t xml:space="preserve">u/g detention is upstream in treatment train with bioretention. </t>
  </si>
  <si>
    <t>Springridge</t>
  </si>
  <si>
    <t>State Farm Parking Lot</t>
  </si>
  <si>
    <t>6x8</t>
  </si>
  <si>
    <t>Stone Creek Village</t>
  </si>
  <si>
    <t>All 249 BMPs drain into pond - treatment train</t>
  </si>
  <si>
    <t>Sutherland Middle / Hollymead Elementary School</t>
  </si>
  <si>
    <t>The Laurels</t>
  </si>
  <si>
    <t>Town and Country</t>
  </si>
  <si>
    <t>UVA Healthsouth</t>
  </si>
  <si>
    <t>Walgreens</t>
  </si>
  <si>
    <t>Stormfilter - 72" manhole w/ 6 cartridges</t>
  </si>
  <si>
    <t>Stormfilter - 8x16 configuration w/ 25 cartridges</t>
  </si>
  <si>
    <t>Wachovia</t>
  </si>
  <si>
    <t>Westminster Canterbury of the Blue Ridge</t>
  </si>
  <si>
    <t>White Gables</t>
  </si>
  <si>
    <t>Stormfilter, 8x16 w/ 16 cartridges</t>
  </si>
  <si>
    <t xml:space="preserve">Wood Residence </t>
  </si>
  <si>
    <t>Woodbrook Crossing</t>
  </si>
  <si>
    <t>Woolen Mills Warehouse</t>
  </si>
  <si>
    <t>Workman Hoffman Building</t>
  </si>
  <si>
    <t xml:space="preserve">6x6 Filterra </t>
  </si>
  <si>
    <t>Offset due to Nutrient Management Plans</t>
  </si>
  <si>
    <t>Implemented on County properties outside the MS4 service area or less than one acre</t>
  </si>
  <si>
    <t>Site</t>
  </si>
  <si>
    <t>Managed Area ID</t>
  </si>
  <si>
    <t>Non-contiguous acres in NMP.</t>
  </si>
  <si>
    <t>Regulated?</t>
  </si>
  <si>
    <t>James River Loading Rate (lbs/ac/yr)</t>
  </si>
  <si>
    <t>Removal Efficiency</t>
  </si>
  <si>
    <t>Baseline Reduction (%)</t>
  </si>
  <si>
    <t>Reduction Credit (lbs/yr)</t>
  </si>
  <si>
    <t>Albemarle High School (unregulated)</t>
  </si>
  <si>
    <t>APF-2</t>
  </si>
  <si>
    <t>-78.503733</t>
  </si>
  <si>
    <t>ABB-1</t>
  </si>
  <si>
    <t>-78.504122</t>
  </si>
  <si>
    <t>JSB-1</t>
  </si>
  <si>
    <t>-78.508116</t>
  </si>
  <si>
    <t>Burley Middle School</t>
  </si>
  <si>
    <t>MPF-1</t>
  </si>
  <si>
    <t>-78.485560</t>
  </si>
  <si>
    <t>MBB-1</t>
  </si>
  <si>
    <t>-78.492978</t>
  </si>
  <si>
    <t>MSB-1</t>
  </si>
  <si>
    <t>-78.491965</t>
  </si>
  <si>
    <t xml:space="preserve">Western Albemarle High School </t>
  </si>
  <si>
    <t>WASB-1</t>
  </si>
  <si>
    <t>-78.704515</t>
  </si>
  <si>
    <t>38.045392</t>
  </si>
  <si>
    <t>Henley Middle School</t>
  </si>
  <si>
    <t>HPF-1</t>
  </si>
  <si>
    <t>-78.705196</t>
  </si>
  <si>
    <t>Total Nitrogen</t>
  </si>
  <si>
    <t>Total Phosphorus</t>
  </si>
  <si>
    <t>Total Acreage</t>
  </si>
  <si>
    <t>Albemarle High School</t>
  </si>
  <si>
    <t>unregulated</t>
  </si>
  <si>
    <t>regulated</t>
  </si>
  <si>
    <t>NMP ID</t>
  </si>
  <si>
    <t>Sq. Feet</t>
  </si>
  <si>
    <t>Ac</t>
  </si>
  <si>
    <t>APF-1</t>
  </si>
  <si>
    <t>WAPF-1</t>
  </si>
  <si>
    <t>MPF-2</t>
  </si>
  <si>
    <t>WAPF-2</t>
  </si>
  <si>
    <t>APF-3</t>
  </si>
  <si>
    <t>MPF-3</t>
  </si>
  <si>
    <t>WAPF-3</t>
  </si>
  <si>
    <t>APF-4</t>
  </si>
  <si>
    <t>MPF-4</t>
  </si>
  <si>
    <t>WAPF-4</t>
  </si>
  <si>
    <t>HBB-1</t>
  </si>
  <si>
    <t>ABB-2</t>
  </si>
  <si>
    <t>MBB-2</t>
  </si>
  <si>
    <t>HPF-2</t>
  </si>
  <si>
    <t>JLAX</t>
  </si>
  <si>
    <t>MPF-5</t>
  </si>
  <si>
    <t>Total Ac. Under 1 contiguous acre:</t>
  </si>
  <si>
    <t>Common Name</t>
  </si>
  <si>
    <t>1999 Name</t>
  </si>
  <si>
    <t>1999 efficiency</t>
  </si>
  <si>
    <t>CBP Name</t>
  </si>
  <si>
    <t>CBP P Efficiency</t>
  </si>
  <si>
    <t>CBP N Efficiency</t>
  </si>
  <si>
    <t>CBP TSS Efficiency</t>
  </si>
  <si>
    <t>Clearinghouse Name</t>
  </si>
  <si>
    <t>Wet_Pond_or_Wetland</t>
  </si>
  <si>
    <t>Clearinghouse Wet Pond 1</t>
  </si>
  <si>
    <t>1999 Retention Basin II (IC 38-66%)</t>
  </si>
  <si>
    <t>Clearinghouse Wet Pond 2</t>
  </si>
  <si>
    <t>Clearinghouse Constructed Wetland 1</t>
  </si>
  <si>
    <t>1999 Constructed Wetland</t>
  </si>
  <si>
    <t>Clearinghouse Constructed Wetland 2</t>
  </si>
  <si>
    <t>Clearinghouse Extended Detention 1</t>
  </si>
  <si>
    <t>Clearinghouse Extended Detention 2</t>
  </si>
  <si>
    <t>Clearinghouse Bioretention 1</t>
  </si>
  <si>
    <t>Clearinghouse Bioretention 2</t>
  </si>
  <si>
    <t>1999 Green Alley with 0.5 in of runoff storage</t>
  </si>
  <si>
    <t>Clearinghouse Urban Bioretention</t>
  </si>
  <si>
    <t>1999 Green Alley with 1.0 in of runoff storage</t>
  </si>
  <si>
    <t>Clearinghouse Wet Swale 1</t>
  </si>
  <si>
    <t>Clearinghouse Wet Swale 2</t>
  </si>
  <si>
    <t>Clearinghouse Dry Swale 1</t>
  </si>
  <si>
    <t>1999 Vegetated Swale II (1.0 in rainfall)</t>
  </si>
  <si>
    <t>Clearinghouse Dry Swale 2</t>
  </si>
  <si>
    <t>Clearinghouse Infiltration 1</t>
  </si>
  <si>
    <t>Clearinghouse Infiltration 2</t>
  </si>
  <si>
    <t>Clearinghouse Filtering Practice 1</t>
  </si>
  <si>
    <t>Clearinghouse Filtering Practice 2</t>
  </si>
  <si>
    <t>Clearinghouse Permeable Pavement 1</t>
  </si>
  <si>
    <t xml:space="preserve">CBP Permeable Pavement w/o Sand, Veg. A/B soils, underdrain </t>
  </si>
  <si>
    <t>Clearinghouse Permeable Pavement 2</t>
  </si>
  <si>
    <t xml:space="preserve">CBP Permeable Pavement w/o Sand, Veg. A/B soils, no underdrain </t>
  </si>
  <si>
    <t xml:space="preserve">CBP Permeable Pavement w/Sand, Veg. C/D soils, underdrain </t>
  </si>
  <si>
    <t xml:space="preserve">CBP Permeable Pavement w/Sand, Veg. A/B soils, underdrain </t>
  </si>
  <si>
    <t xml:space="preserve">CBP Permeable Pavement w/Sand, Veg. A/B soils, no underdrain </t>
  </si>
  <si>
    <t>Veg_Chan</t>
  </si>
  <si>
    <t xml:space="preserve">CBP Vegetated Open Channels C/D soils, no underdrain </t>
  </si>
  <si>
    <t>Clearinghouse Grass Channel</t>
  </si>
  <si>
    <t xml:space="preserve">CBP Vegetated Open Channels A/B soils, no underdrain </t>
  </si>
  <si>
    <t>Clearinghouse Rainwater Harvesting</t>
  </si>
  <si>
    <t>Green_Roof</t>
  </si>
  <si>
    <t>Clearinghouse Green Roof 1</t>
  </si>
  <si>
    <t>Clearinghouse Green Roof 2</t>
  </si>
  <si>
    <t>Clearinghouse Filterra</t>
  </si>
  <si>
    <t>Clearinghouse Stormfilter</t>
  </si>
  <si>
    <t>Clearinghouse Stormceptor</t>
  </si>
  <si>
    <t>Clearinghouse The Vortech System</t>
  </si>
  <si>
    <t>Clearinghouse Hydro-Dynamic Separator</t>
  </si>
  <si>
    <t>BMP Type Selection Lists (for JR accounting spreadsheet)</t>
  </si>
  <si>
    <t>Common_Names</t>
  </si>
  <si>
    <t>Other</t>
  </si>
  <si>
    <t xml:space="preserve">CBP Street Sweeping Mass Reduced per pound of sediment swept </t>
  </si>
  <si>
    <t>1999 StormFilter</t>
  </si>
  <si>
    <t>1999 Stormceptor</t>
  </si>
  <si>
    <t>1999 Vortechs Stormwater Treament System</t>
  </si>
  <si>
    <t>1999 Separation system</t>
  </si>
  <si>
    <t>1999 Downstream Defender</t>
  </si>
  <si>
    <t>CBP Stormceptor</t>
  </si>
  <si>
    <t>CBP Vortechs</t>
  </si>
  <si>
    <t>Stormwater Management Handbook 1999 Categories</t>
  </si>
  <si>
    <t>Virginia Stormwater Management Handbook 1999 Phosphorus</t>
  </si>
  <si>
    <t>CBP Names</t>
  </si>
  <si>
    <t>CBP Established Efficiencies TP</t>
  </si>
  <si>
    <t>CBP Established Efficiencies TN</t>
  </si>
  <si>
    <t>CBP Established Efficiencies TSS</t>
  </si>
  <si>
    <t>Clearinghouse (VA SWM Handbook 2013)</t>
  </si>
  <si>
    <t>Clearinghouse (VA SWM Handbook 2013) TP</t>
  </si>
  <si>
    <t>Clearinghouse (VA SWM Handbook 2013) TN</t>
  </si>
  <si>
    <t>Clearinghouse (VA SWM Handbook 2013) TSS</t>
  </si>
  <si>
    <t>Non-propriety BMPs</t>
  </si>
  <si>
    <t>Retention Basin (wet)</t>
  </si>
  <si>
    <t>Retention Basin I (IC 22-37%)</t>
  </si>
  <si>
    <t>Wet Pond and Wetlands</t>
  </si>
  <si>
    <t>Wet Pond 1</t>
  </si>
  <si>
    <t xml:space="preserve">50%
</t>
  </si>
  <si>
    <t xml:space="preserve">30%
</t>
  </si>
  <si>
    <t>Retention Basin II (IC 38-66%)</t>
  </si>
  <si>
    <t>Wet Pond 2</t>
  </si>
  <si>
    <t>Retention Basin III (67-100%)</t>
  </si>
  <si>
    <t>Constructed Wetland 1</t>
  </si>
  <si>
    <t>Constructed Wetland</t>
  </si>
  <si>
    <t>Constructed Wetland 2</t>
  </si>
  <si>
    <t>Wet Swale</t>
  </si>
  <si>
    <t>Wet Swale 1</t>
  </si>
  <si>
    <t>Wet Swale 2</t>
  </si>
  <si>
    <t>Biofilter/Bioretention/Green Alley</t>
  </si>
  <si>
    <t>Bioretention I (0.5 in rainfall)</t>
  </si>
  <si>
    <t>Bioretention C/D soils</t>
  </si>
  <si>
    <t>Bioretention 1</t>
  </si>
  <si>
    <t>Bioretention II (1.0 in rainfall)</t>
  </si>
  <si>
    <t>Bioretention A/B soils</t>
  </si>
  <si>
    <t>Bioretention 2</t>
  </si>
  <si>
    <t>Green Alley with 0.5 in of runoff storage</t>
  </si>
  <si>
    <t xml:space="preserve">Bioretention A/B soils, no underdrain </t>
  </si>
  <si>
    <t>Urban Bioretention</t>
  </si>
  <si>
    <t>Green Alley with 1.0 in of runoff storage</t>
  </si>
  <si>
    <t xml:space="preserve">Bioswale </t>
  </si>
  <si>
    <t>Micro-bioretention</t>
  </si>
  <si>
    <t>Water Quality Swale</t>
  </si>
  <si>
    <t>Dry Swale 1</t>
  </si>
  <si>
    <t>Dry Swale 2</t>
  </si>
  <si>
    <t>Infiltration Practice</t>
  </si>
  <si>
    <t>Infiltration with 0.5 in of runoff storage</t>
  </si>
  <si>
    <t xml:space="preserve">Infiltration Practices w/o Sand, Veg. </t>
  </si>
  <si>
    <t>Infiltration 1</t>
  </si>
  <si>
    <t>Infiltration with 1.0 in of runoff storage</t>
  </si>
  <si>
    <t xml:space="preserve">Infiltration Practices w/ Sand, Veg. </t>
  </si>
  <si>
    <t>Infiltration 2</t>
  </si>
  <si>
    <t>Micro-Infiltration</t>
  </si>
  <si>
    <t>Extended Detention Pond</t>
  </si>
  <si>
    <t>Extented Detention (IC 22-37%)</t>
  </si>
  <si>
    <t xml:space="preserve">Dry Extended Detention Ponds </t>
  </si>
  <si>
    <t>Extended Detention 1</t>
  </si>
  <si>
    <t>Enhanced Extented Detention</t>
  </si>
  <si>
    <t>Enhanced Extented Detention (IC 38-66%)</t>
  </si>
  <si>
    <t>Extended Detention 2</t>
  </si>
  <si>
    <t>Sand Filter</t>
  </si>
  <si>
    <t>Sand Filters (0.5 in of runoff)</t>
  </si>
  <si>
    <t xml:space="preserve">Filtering Practices </t>
  </si>
  <si>
    <t>Filtering Practice 1</t>
  </si>
  <si>
    <t>Filtering Practice 2</t>
  </si>
  <si>
    <t>Grass Swale/Vegetated Channels</t>
  </si>
  <si>
    <t>Vegetated Swale I (0.5 in rainfall)</t>
  </si>
  <si>
    <t xml:space="preserve">Vegetated Open Channels C/D soils, no underdrain </t>
  </si>
  <si>
    <t>Grass Channel</t>
  </si>
  <si>
    <t>Vegetated Swale II (1.0 in rainfall)</t>
  </si>
  <si>
    <t>Grassed Swale</t>
  </si>
  <si>
    <t xml:space="preserve">Vegetated Open Channels A/B soils, no underdrain </t>
  </si>
  <si>
    <t>Permeable Pavement/Pervious Pavement</t>
  </si>
  <si>
    <t xml:space="preserve">Permeable Pavement w/o Sand, Veg. C/D soils, underdrain </t>
  </si>
  <si>
    <t>Permeable Pavement 1</t>
  </si>
  <si>
    <t xml:space="preserve">Permeable Pavement w/o Sand, Veg. A/B soils, underdrain </t>
  </si>
  <si>
    <t>Permeable Pavement 2</t>
  </si>
  <si>
    <t xml:space="preserve">Permeable Pavement w/o Sand, Veg. A/B soils, no underdrain </t>
  </si>
  <si>
    <t xml:space="preserve">Permeable Pavement w/Sand, Veg. C/D soils, underdrain </t>
  </si>
  <si>
    <t xml:space="preserve">Permeable Pavement w/Sand, Veg. A/B soils, underdrain </t>
  </si>
  <si>
    <t xml:space="preserve">Permeable Pavement w/Sand, Veg. A/B soils, no underdrain </t>
  </si>
  <si>
    <t>Rainwater Harvesting/Rain Tank/Detention Basin</t>
  </si>
  <si>
    <t>Detention Basin</t>
  </si>
  <si>
    <t>Rainwater Harvesting</t>
  </si>
  <si>
    <t>Dry Detention Ponds</t>
  </si>
  <si>
    <t>OTHER</t>
  </si>
  <si>
    <t xml:space="preserve">Street Sweeping Mass Reduced per pound of sediment swept </t>
  </si>
  <si>
    <t>Green Roof 1</t>
  </si>
  <si>
    <t>Green Roof 2</t>
  </si>
  <si>
    <t>Propriety BMPs</t>
  </si>
  <si>
    <t>Filtering Structures</t>
  </si>
  <si>
    <t xml:space="preserve">Hydro-Dynamic Structures </t>
  </si>
  <si>
    <t>Stormceptor</t>
  </si>
  <si>
    <t>Vortechs</t>
  </si>
  <si>
    <t>The Vortech System</t>
  </si>
  <si>
    <t>Hydrodynamic Structure/Separator</t>
  </si>
  <si>
    <t>Hydro-Dynamic Separator</t>
  </si>
  <si>
    <t>*Values come from the Virginia Stormwater Management Handbook 1999</t>
  </si>
  <si>
    <t>*Values come from the DEQ TMDL Action Plan Guidance Document (pg. 54)</t>
  </si>
  <si>
    <t>*Values for non-proprietary come from the 2013 VA SWM Handbook DRAFT Chapter 8 (pg. 8-55)</t>
  </si>
  <si>
    <t>*Values for proprietary BMPs come from http://www.vwrrc.vt.edu/swc/ProprietaryBMPs.html</t>
  </si>
  <si>
    <t>Proprietary BMP WQV Calculations to use retrofit curves (Equations for WQV come from Nick Bayer at Contech)</t>
  </si>
  <si>
    <t>Filterra's</t>
  </si>
  <si>
    <t>Width</t>
  </si>
  <si>
    <t>WQV (CF)</t>
  </si>
  <si>
    <t>Stormfilters</t>
  </si>
  <si>
    <t>6x8 Peak Diversion StormFilter w/ (6) 27" cartridges</t>
  </si>
  <si>
    <t>8x6 Peak Diversion StormFilter w/ (8) 18" cartridges</t>
  </si>
  <si>
    <t>6x8 Vault Stype 50L w/ (8) 18" cartridges</t>
  </si>
  <si>
    <t>8x14 Vault Stype 50L w/ (20) 27" cartridges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</si>
</sst>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164" formatCode="0.000"/>
    <numFmt numFmtId="165" formatCode="0.0%"/>
    <numFmt numFmtId="166" formatCode="0.0"/>
    <numFmt numFmtId="167" formatCode="&quot;$&quot;#,##0.00"/>
    <numFmt numFmtId="168" formatCode="#,##0.0"/>
  </numFmts>
  <fonts count="55" x14ac:knownFonts="1">
    <font>
      <sz val="11"/>
      <color theme="1"/>
      <name val="Calibri"/>
      <family val="2"/>
      <scheme val="minor"/>
    </font>
    <font>
      <sz val="9"/>
      <color indexed="81"/>
      <name val="Tahoma"/>
      <family val="2"/>
    </font>
    <font>
      <b/>
      <sz val="9"/>
      <color indexed="81"/>
      <name val="Tahoma"/>
      <family val="2"/>
    </font>
    <font>
      <sz val="11"/>
      <color indexed="10"/>
      <name val="Calibri"/>
      <family val="2"/>
    </font>
    <font>
      <b/>
      <sz val="11"/>
      <color indexed="8"/>
      <name val="Calibri"/>
      <family val="2"/>
    </font>
    <font>
      <sz val="11"/>
      <color indexed="8"/>
      <name val="Calibri"/>
      <family val="2"/>
    </font>
    <font>
      <i/>
      <sz val="11"/>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sz val="11"/>
      <name val="Calibri"/>
      <family val="2"/>
      <scheme val="minor"/>
    </font>
    <font>
      <sz val="11"/>
      <color rgb="FF0000FF"/>
      <name val="Calibri"/>
      <family val="2"/>
      <scheme val="minor"/>
    </font>
    <font>
      <b/>
      <sz val="11"/>
      <color rgb="FFFF0000"/>
      <name val="Calibri"/>
      <family val="2"/>
      <scheme val="minor"/>
    </font>
    <font>
      <sz val="11"/>
      <color theme="0" tint="-0.34998626667073579"/>
      <name val="Calibri"/>
      <family val="2"/>
      <scheme val="minor"/>
    </font>
    <font>
      <sz val="10"/>
      <color rgb="FF000000"/>
      <name val="Arial"/>
      <family val="2"/>
    </font>
    <font>
      <b/>
      <sz val="11"/>
      <name val="Calibri"/>
      <family val="2"/>
      <scheme val="minor"/>
    </font>
    <font>
      <sz val="10"/>
      <color theme="1"/>
      <name val="Arial"/>
      <family val="2"/>
    </font>
    <font>
      <sz val="11"/>
      <color theme="0" tint="-0.249977111117893"/>
      <name val="Calibri"/>
      <family val="2"/>
      <scheme val="minor"/>
    </font>
    <font>
      <sz val="11"/>
      <color rgb="FF0070C0"/>
      <name val="Calibri"/>
      <family val="2"/>
      <scheme val="minor"/>
    </font>
    <font>
      <b/>
      <sz val="12"/>
      <color theme="1"/>
      <name val="Calibri"/>
      <family val="2"/>
      <scheme val="minor"/>
    </font>
    <font>
      <sz val="12"/>
      <color theme="1"/>
      <name val="Calibri"/>
      <family val="2"/>
      <scheme val="minor"/>
    </font>
    <font>
      <b/>
      <sz val="10"/>
      <color rgb="FF000000"/>
      <name val="Calibri"/>
      <family val="2"/>
      <scheme val="minor"/>
    </font>
    <font>
      <sz val="11"/>
      <color theme="1" tint="4.9989318521683403E-2"/>
      <name val="Calibri"/>
      <family val="2"/>
      <scheme val="minor"/>
    </font>
    <font>
      <sz val="10"/>
      <color rgb="FF0000FF"/>
      <name val="Arial"/>
      <family val="2"/>
    </font>
    <font>
      <b/>
      <sz val="20"/>
      <color theme="1"/>
      <name val="Calibri"/>
      <family val="2"/>
      <scheme val="minor"/>
    </font>
    <font>
      <sz val="11"/>
      <color theme="0" tint="-0.499984740745262"/>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u/>
      <sz val="11"/>
      <color theme="10"/>
      <name val="Calibri"/>
      <family val="2"/>
      <scheme val="minor"/>
    </font>
    <font>
      <sz val="10"/>
      <name val="Arial"/>
      <family val="2"/>
    </font>
    <font>
      <sz val="10"/>
      <name val="Calibri"/>
      <family val="2"/>
    </font>
    <font>
      <sz val="10"/>
      <color theme="1"/>
      <name val="Calibri"/>
      <family val="2"/>
      <scheme val="minor"/>
    </font>
    <font>
      <sz val="11"/>
      <color rgb="FF000000"/>
      <name val="Calibri"/>
      <family val="2"/>
    </font>
    <font>
      <sz val="11"/>
      <color theme="1"/>
      <name val="Calibri"/>
      <family val="2"/>
    </font>
    <font>
      <b/>
      <sz val="11"/>
      <color rgb="FF000000"/>
      <name val="Calibri"/>
      <family val="2"/>
    </font>
    <font>
      <b/>
      <sz val="11"/>
      <color rgb="FFFF0000"/>
      <name val="Calibri"/>
      <family val="2"/>
    </font>
    <font>
      <sz val="11"/>
      <name val="Calibri"/>
      <family val="2"/>
    </font>
    <font>
      <sz val="11"/>
      <color rgb="FF0000FF"/>
      <name val="Calibri"/>
      <family val="2"/>
    </font>
    <font>
      <b/>
      <sz val="11"/>
      <color rgb="FF0000FF"/>
      <name val="Calibri"/>
      <family val="2"/>
    </font>
    <font>
      <b/>
      <sz val="11"/>
      <name val="Calibri"/>
      <family val="2"/>
    </font>
    <font>
      <b/>
      <sz val="11"/>
      <color theme="1"/>
      <name val="Calibri"/>
      <family val="2"/>
    </font>
    <font>
      <b/>
      <sz val="11"/>
      <color theme="5"/>
      <name val="Calibri"/>
      <family val="2"/>
      <scheme val="minor"/>
    </font>
  </fonts>
  <fills count="73">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92CDDC"/>
        <bgColor indexed="64"/>
      </patternFill>
    </fill>
    <fill>
      <patternFill patternType="solid">
        <fgColor rgb="FFF2F2F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DE9D9"/>
        <bgColor indexed="64"/>
      </patternFill>
    </fill>
    <fill>
      <patternFill patternType="solid">
        <fgColor rgb="FFD0CECE"/>
        <bgColor rgb="FF000000"/>
      </patternFill>
    </fill>
    <fill>
      <patternFill patternType="solid">
        <fgColor rgb="FFC6E0B4"/>
        <bgColor rgb="FF000000"/>
      </patternFill>
    </fill>
    <fill>
      <patternFill patternType="solid">
        <fgColor rgb="FFFFF2CC"/>
        <bgColor rgb="FF000000"/>
      </patternFill>
    </fill>
    <fill>
      <patternFill patternType="solid">
        <fgColor rgb="FFFCE4D6"/>
        <bgColor rgb="FF000000"/>
      </patternFill>
    </fill>
    <fill>
      <patternFill patternType="solid">
        <fgColor rgb="FFACB9CA"/>
        <bgColor rgb="FF000000"/>
      </patternFill>
    </fill>
    <fill>
      <patternFill patternType="solid">
        <fgColor rgb="FFFFFF00"/>
        <bgColor rgb="FF000000"/>
      </patternFill>
    </fill>
    <fill>
      <patternFill patternType="solid">
        <fgColor theme="0" tint="-0.249977111117893"/>
        <bgColor rgb="FF000000"/>
      </patternFill>
    </fill>
  </fills>
  <borders count="76">
    <border>
      <left/>
      <right/>
      <top/>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44" fontId="7" fillId="0" borderId="0" applyFont="0" applyFill="0" applyBorder="0" applyAlignment="0" applyProtection="0"/>
    <xf numFmtId="9" fontId="7" fillId="0" borderId="0" applyFont="0" applyFill="0" applyBorder="0" applyAlignment="0" applyProtection="0"/>
    <xf numFmtId="0" fontId="27" fillId="0" borderId="67" applyNumberFormat="0" applyFill="0" applyAlignment="0" applyProtection="0"/>
    <xf numFmtId="0" fontId="28" fillId="0" borderId="68" applyNumberFormat="0" applyFill="0" applyAlignment="0" applyProtection="0"/>
    <xf numFmtId="0" fontId="29" fillId="0" borderId="69" applyNumberFormat="0" applyFill="0" applyAlignment="0" applyProtection="0"/>
    <xf numFmtId="0" fontId="29" fillId="0" borderId="0" applyNumberFormat="0" applyFill="0" applyBorder="0" applyAlignment="0" applyProtection="0"/>
    <xf numFmtId="0" fontId="30" fillId="34" borderId="0" applyNumberFormat="0" applyBorder="0" applyAlignment="0" applyProtection="0"/>
    <xf numFmtId="0" fontId="31" fillId="35" borderId="0" applyNumberFormat="0" applyBorder="0" applyAlignment="0" applyProtection="0"/>
    <xf numFmtId="0" fontId="32" fillId="36" borderId="0" applyNumberFormat="0" applyBorder="0" applyAlignment="0" applyProtection="0"/>
    <xf numFmtId="0" fontId="33" fillId="37" borderId="70" applyNumberFormat="0" applyAlignment="0" applyProtection="0"/>
    <xf numFmtId="0" fontId="34" fillId="38" borderId="71" applyNumberFormat="0" applyAlignment="0" applyProtection="0"/>
    <xf numFmtId="0" fontId="35" fillId="38" borderId="70" applyNumberFormat="0" applyAlignment="0" applyProtection="0"/>
    <xf numFmtId="0" fontId="36" fillId="0" borderId="72" applyNumberFormat="0" applyFill="0" applyAlignment="0" applyProtection="0"/>
    <xf numFmtId="0" fontId="37" fillId="39" borderId="73" applyNumberFormat="0" applyAlignment="0" applyProtection="0"/>
    <xf numFmtId="0" fontId="9" fillId="0" borderId="0" applyNumberFormat="0" applyFill="0" applyBorder="0" applyAlignment="0" applyProtection="0"/>
    <xf numFmtId="0" fontId="7" fillId="40" borderId="74" applyNumberFormat="0" applyFont="0" applyAlignment="0" applyProtection="0"/>
    <xf numFmtId="0" fontId="38" fillId="0" borderId="0" applyNumberFormat="0" applyFill="0" applyBorder="0" applyAlignment="0" applyProtection="0"/>
    <xf numFmtId="0" fontId="8" fillId="0" borderId="75" applyNumberFormat="0" applyFill="0" applyAlignment="0" applyProtection="0"/>
    <xf numFmtId="0" fontId="3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39" fillId="48" borderId="0" applyNumberFormat="0" applyBorder="0" applyAlignment="0" applyProtection="0"/>
    <xf numFmtId="0" fontId="3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39" fillId="52" borderId="0" applyNumberFormat="0" applyBorder="0" applyAlignment="0" applyProtection="0"/>
    <xf numFmtId="0" fontId="3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39" fillId="56" borderId="0" applyNumberFormat="0" applyBorder="0" applyAlignment="0" applyProtection="0"/>
    <xf numFmtId="0" fontId="39" fillId="57" borderId="0" applyNumberFormat="0" applyBorder="0" applyAlignment="0" applyProtection="0"/>
    <xf numFmtId="0" fontId="7" fillId="58" borderId="0" applyNumberFormat="0" applyBorder="0" applyAlignment="0" applyProtection="0"/>
    <xf numFmtId="0" fontId="7" fillId="59" borderId="0" applyNumberFormat="0" applyBorder="0" applyAlignment="0" applyProtection="0"/>
    <xf numFmtId="0" fontId="39" fillId="60" borderId="0" applyNumberFormat="0" applyBorder="0" applyAlignment="0" applyProtection="0"/>
    <xf numFmtId="0" fontId="39" fillId="61"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39" fillId="64" borderId="0" applyNumberFormat="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cellStyleXfs>
  <cellXfs count="1301">
    <xf numFmtId="0" fontId="0" fillId="0" borderId="0" xfId="0"/>
    <xf numFmtId="2" fontId="9" fillId="0" borderId="0" xfId="0" applyNumberFormat="1" applyFont="1"/>
    <xf numFmtId="0" fontId="0" fillId="0" borderId="0" xfId="0" applyAlignment="1">
      <alignment wrapText="1"/>
    </xf>
    <xf numFmtId="0" fontId="0" fillId="0" borderId="0" xfId="0" applyAlignment="1">
      <alignment horizontal="right"/>
    </xf>
    <xf numFmtId="0" fontId="10" fillId="0" borderId="0" xfId="0" applyFont="1"/>
    <xf numFmtId="0" fontId="9" fillId="0" borderId="0" xfId="0" applyFont="1"/>
    <xf numFmtId="0" fontId="0" fillId="2" borderId="1" xfId="0" applyFill="1" applyBorder="1" applyAlignment="1">
      <alignment horizontal="center" wrapText="1"/>
    </xf>
    <xf numFmtId="165" fontId="11" fillId="0" borderId="0" xfId="2" applyNumberFormat="1" applyFont="1"/>
    <xf numFmtId="2" fontId="11" fillId="0" borderId="0" xfId="0" applyNumberFormat="1" applyFont="1"/>
    <xf numFmtId="2" fontId="12" fillId="0" borderId="0" xfId="0" applyNumberFormat="1" applyFont="1"/>
    <xf numFmtId="0" fontId="12" fillId="0" borderId="0" xfId="0" applyFont="1" applyAlignment="1">
      <alignment horizontal="right"/>
    </xf>
    <xf numFmtId="0" fontId="12" fillId="0" borderId="0" xfId="0" applyFont="1"/>
    <xf numFmtId="9" fontId="7" fillId="0" borderId="0" xfId="2" applyFont="1"/>
    <xf numFmtId="0" fontId="12" fillId="0" borderId="0" xfId="2" quotePrefix="1" applyNumberFormat="1" applyFont="1" applyFill="1" applyAlignment="1">
      <alignment horizontal="center"/>
    </xf>
    <xf numFmtId="0" fontId="0" fillId="0" borderId="0" xfId="0" applyAlignment="1">
      <alignment horizontal="center"/>
    </xf>
    <xf numFmtId="0" fontId="0" fillId="3" borderId="1" xfId="0" applyFill="1" applyBorder="1" applyAlignment="1">
      <alignment horizontal="center" wrapText="1"/>
    </xf>
    <xf numFmtId="2" fontId="12" fillId="0" borderId="0" xfId="2" applyNumberFormat="1" applyFont="1" applyFill="1" applyAlignment="1">
      <alignment horizontal="center"/>
    </xf>
    <xf numFmtId="2" fontId="0" fillId="0" borderId="0" xfId="0" applyNumberFormat="1"/>
    <xf numFmtId="0" fontId="0" fillId="4" borderId="1" xfId="0" applyFill="1" applyBorder="1" applyAlignment="1">
      <alignment horizontal="center" wrapText="1"/>
    </xf>
    <xf numFmtId="0" fontId="0" fillId="4" borderId="1" xfId="0" applyFill="1" applyBorder="1"/>
    <xf numFmtId="0" fontId="9" fillId="0" borderId="0" xfId="0" applyFont="1" applyAlignment="1">
      <alignment horizontal="right"/>
    </xf>
    <xf numFmtId="2" fontId="13" fillId="0" borderId="0" xfId="0" applyNumberFormat="1" applyFont="1"/>
    <xf numFmtId="0" fontId="13" fillId="0" borderId="0" xfId="0" applyFont="1" applyAlignment="1">
      <alignment horizontal="left"/>
    </xf>
    <xf numFmtId="0" fontId="0" fillId="5" borderId="1" xfId="0" applyFill="1" applyBorder="1" applyAlignment="1">
      <alignment horizontal="center" textRotation="90" wrapText="1"/>
    </xf>
    <xf numFmtId="49" fontId="12" fillId="0" borderId="0" xfId="2" applyNumberFormat="1" applyFont="1" applyFill="1" applyAlignment="1">
      <alignment horizontal="center"/>
    </xf>
    <xf numFmtId="165" fontId="11" fillId="0" borderId="0" xfId="2" applyNumberFormat="1" applyFont="1" applyFill="1"/>
    <xf numFmtId="0" fontId="12" fillId="0" borderId="0" xfId="2" applyNumberFormat="1" applyFont="1" applyFill="1" applyAlignment="1">
      <alignment horizontal="center"/>
    </xf>
    <xf numFmtId="165" fontId="11" fillId="0" borderId="0" xfId="2" applyNumberFormat="1" applyFont="1" applyBorder="1"/>
    <xf numFmtId="9" fontId="12" fillId="0" borderId="0" xfId="2" applyFont="1" applyBorder="1"/>
    <xf numFmtId="0" fontId="12" fillId="0" borderId="0" xfId="2" applyNumberFormat="1" applyFont="1" applyFill="1" applyBorder="1" applyAlignment="1">
      <alignment horizontal="center"/>
    </xf>
    <xf numFmtId="0" fontId="0" fillId="0" borderId="2" xfId="0" applyBorder="1"/>
    <xf numFmtId="0" fontId="0" fillId="0" borderId="3" xfId="0" applyBorder="1"/>
    <xf numFmtId="0" fontId="0" fillId="0" borderId="4" xfId="0" applyBorder="1"/>
    <xf numFmtId="0" fontId="0" fillId="6" borderId="5" xfId="0" applyFill="1" applyBorder="1"/>
    <xf numFmtId="2" fontId="11" fillId="0" borderId="0" xfId="0" applyNumberFormat="1" applyFont="1" applyAlignment="1">
      <alignment horizontal="center"/>
    </xf>
    <xf numFmtId="0" fontId="0" fillId="7" borderId="1" xfId="0" applyFill="1" applyBorder="1" applyAlignment="1">
      <alignment horizontal="center" wrapText="1"/>
    </xf>
    <xf numFmtId="0" fontId="11" fillId="0" borderId="0" xfId="0" applyFont="1" applyAlignment="1">
      <alignment horizontal="center"/>
    </xf>
    <xf numFmtId="0" fontId="11" fillId="0" borderId="0" xfId="0" applyFont="1"/>
    <xf numFmtId="9" fontId="14" fillId="0" borderId="0" xfId="2" applyFont="1" applyBorder="1"/>
    <xf numFmtId="2" fontId="14" fillId="0" borderId="0" xfId="0" applyNumberFormat="1" applyFont="1"/>
    <xf numFmtId="9" fontId="15" fillId="8" borderId="5" xfId="0" applyNumberFormat="1" applyFont="1" applyFill="1" applyBorder="1" applyAlignment="1">
      <alignment horizontal="center" vertical="center" wrapText="1"/>
    </xf>
    <xf numFmtId="9" fontId="0" fillId="9" borderId="6" xfId="0" applyNumberFormat="1" applyFill="1" applyBorder="1" applyAlignment="1">
      <alignment horizontal="center" wrapText="1"/>
    </xf>
    <xf numFmtId="0" fontId="8" fillId="6" borderId="8" xfId="0" applyFont="1" applyFill="1" applyBorder="1" applyAlignment="1">
      <alignment wrapText="1"/>
    </xf>
    <xf numFmtId="0" fontId="8" fillId="6" borderId="9" xfId="0" applyFont="1" applyFill="1" applyBorder="1" applyAlignment="1">
      <alignment wrapText="1"/>
    </xf>
    <xf numFmtId="0" fontId="8" fillId="6" borderId="10" xfId="0" applyFont="1" applyFill="1" applyBorder="1" applyAlignment="1">
      <alignment wrapText="1"/>
    </xf>
    <xf numFmtId="0" fontId="8" fillId="6" borderId="6" xfId="0" applyFont="1" applyFill="1" applyBorder="1" applyAlignment="1">
      <alignment wrapText="1"/>
    </xf>
    <xf numFmtId="0" fontId="8" fillId="6" borderId="11" xfId="0" applyFont="1" applyFill="1" applyBorder="1"/>
    <xf numFmtId="0" fontId="0" fillId="0" borderId="12" xfId="0" applyBorder="1"/>
    <xf numFmtId="9" fontId="0" fillId="9" borderId="13" xfId="0" applyNumberFormat="1" applyFill="1" applyBorder="1" applyAlignment="1">
      <alignment horizontal="center" wrapText="1"/>
    </xf>
    <xf numFmtId="9" fontId="0" fillId="9" borderId="14" xfId="0" applyNumberFormat="1" applyFill="1" applyBorder="1" applyAlignment="1">
      <alignment horizontal="center" wrapText="1"/>
    </xf>
    <xf numFmtId="0" fontId="0" fillId="0" borderId="15" xfId="0" applyBorder="1"/>
    <xf numFmtId="0" fontId="0" fillId="0" borderId="17" xfId="0" applyBorder="1"/>
    <xf numFmtId="9" fontId="0" fillId="9" borderId="18" xfId="0" applyNumberFormat="1" applyFill="1" applyBorder="1" applyAlignment="1">
      <alignment horizontal="center" wrapText="1"/>
    </xf>
    <xf numFmtId="9" fontId="0" fillId="9" borderId="19" xfId="0" applyNumberFormat="1" applyFill="1" applyBorder="1" applyAlignment="1">
      <alignment horizontal="center" wrapText="1"/>
    </xf>
    <xf numFmtId="9" fontId="0" fillId="9" borderId="20" xfId="0" applyNumberFormat="1" applyFill="1" applyBorder="1" applyAlignment="1">
      <alignment horizontal="center" wrapText="1"/>
    </xf>
    <xf numFmtId="0" fontId="0" fillId="0" borderId="21" xfId="0" applyBorder="1"/>
    <xf numFmtId="9" fontId="0" fillId="10" borderId="22" xfId="0" applyNumberFormat="1" applyFill="1" applyBorder="1" applyAlignment="1">
      <alignment horizontal="center"/>
    </xf>
    <xf numFmtId="9" fontId="0" fillId="11" borderId="0" xfId="0" applyNumberFormat="1" applyFill="1" applyAlignment="1">
      <alignment horizontal="center" wrapText="1"/>
    </xf>
    <xf numFmtId="9" fontId="15" fillId="11" borderId="18" xfId="0" applyNumberFormat="1" applyFont="1" applyFill="1" applyBorder="1" applyAlignment="1">
      <alignment horizontal="center" vertical="center" wrapText="1"/>
    </xf>
    <xf numFmtId="9" fontId="0" fillId="11" borderId="20" xfId="0" applyNumberFormat="1" applyFill="1" applyBorder="1" applyAlignment="1">
      <alignment horizontal="center" wrapText="1"/>
    </xf>
    <xf numFmtId="9" fontId="0" fillId="11" borderId="18" xfId="0" applyNumberFormat="1" applyFill="1" applyBorder="1" applyAlignment="1">
      <alignment horizontal="center" wrapText="1"/>
    </xf>
    <xf numFmtId="0" fontId="0" fillId="0" borderId="8" xfId="0" applyBorder="1"/>
    <xf numFmtId="9" fontId="0" fillId="9" borderId="0" xfId="0" applyNumberFormat="1" applyFill="1" applyAlignment="1">
      <alignment horizontal="center" wrapText="1"/>
    </xf>
    <xf numFmtId="9" fontId="0" fillId="9" borderId="23" xfId="0" applyNumberFormat="1" applyFill="1" applyBorder="1" applyAlignment="1">
      <alignment horizontal="center" wrapText="1"/>
    </xf>
    <xf numFmtId="9" fontId="0" fillId="9" borderId="9" xfId="0" applyNumberFormat="1" applyFill="1" applyBorder="1" applyAlignment="1">
      <alignment horizontal="center" wrapText="1"/>
    </xf>
    <xf numFmtId="0" fontId="0" fillId="11" borderId="24" xfId="0" applyFill="1" applyBorder="1"/>
    <xf numFmtId="0" fontId="0" fillId="11" borderId="25" xfId="0" applyFill="1" applyBorder="1"/>
    <xf numFmtId="0" fontId="0" fillId="11" borderId="26" xfId="0" applyFill="1" applyBorder="1"/>
    <xf numFmtId="0" fontId="8" fillId="6" borderId="11" xfId="0" applyFont="1" applyFill="1" applyBorder="1" applyAlignment="1">
      <alignment wrapText="1"/>
    </xf>
    <xf numFmtId="0" fontId="8" fillId="0" borderId="0" xfId="0" applyFont="1" applyAlignment="1">
      <alignment wrapText="1"/>
    </xf>
    <xf numFmtId="0" fontId="0" fillId="0" borderId="0" xfId="0" applyAlignment="1">
      <alignment vertical="center"/>
    </xf>
    <xf numFmtId="9" fontId="0" fillId="0" borderId="0" xfId="0" applyNumberFormat="1" applyAlignment="1">
      <alignment vertical="center"/>
    </xf>
    <xf numFmtId="9" fontId="0" fillId="0" borderId="0" xfId="0" applyNumberFormat="1"/>
    <xf numFmtId="9" fontId="0" fillId="0" borderId="0" xfId="0" applyNumberFormat="1" applyAlignment="1">
      <alignment horizontal="center" wrapText="1"/>
    </xf>
    <xf numFmtId="0" fontId="0" fillId="11" borderId="21" xfId="0" applyFill="1" applyBorder="1"/>
    <xf numFmtId="9" fontId="0" fillId="10" borderId="27" xfId="0" applyNumberFormat="1" applyFill="1" applyBorder="1" applyAlignment="1">
      <alignment horizontal="center" wrapText="1"/>
    </xf>
    <xf numFmtId="9" fontId="0" fillId="10" borderId="28" xfId="0" applyNumberFormat="1" applyFill="1" applyBorder="1" applyAlignment="1">
      <alignment horizontal="center" wrapText="1"/>
    </xf>
    <xf numFmtId="0" fontId="0" fillId="0" borderId="29" xfId="0" applyBorder="1" applyAlignment="1">
      <alignment horizontal="center"/>
    </xf>
    <xf numFmtId="0" fontId="0" fillId="0" borderId="30" xfId="0" applyBorder="1" applyAlignment="1">
      <alignment horizontal="center"/>
    </xf>
    <xf numFmtId="0" fontId="15" fillId="0" borderId="4" xfId="0" applyFont="1" applyBorder="1" applyAlignment="1">
      <alignment horizontal="left" vertical="center" wrapText="1"/>
    </xf>
    <xf numFmtId="0" fontId="0" fillId="0" borderId="8" xfId="0" applyBorder="1" applyAlignment="1">
      <alignment horizontal="left" wrapText="1"/>
    </xf>
    <xf numFmtId="0" fontId="0" fillId="0" borderId="17" xfId="0" applyBorder="1" applyAlignment="1">
      <alignment horizontal="left" wrapText="1"/>
    </xf>
    <xf numFmtId="9" fontId="0" fillId="0" borderId="8" xfId="0" applyNumberFormat="1" applyBorder="1" applyAlignment="1">
      <alignment horizontal="left"/>
    </xf>
    <xf numFmtId="0" fontId="0" fillId="9" borderId="31" xfId="0" applyFill="1" applyBorder="1"/>
    <xf numFmtId="0" fontId="0" fillId="11" borderId="0" xfId="0" applyFill="1"/>
    <xf numFmtId="0" fontId="15" fillId="0" borderId="0" xfId="0" applyFont="1" applyAlignment="1">
      <alignment vertical="center" wrapText="1"/>
    </xf>
    <xf numFmtId="9" fontId="15" fillId="0" borderId="0" xfId="0" applyNumberFormat="1" applyFont="1" applyAlignment="1">
      <alignment vertical="center" wrapText="1"/>
    </xf>
    <xf numFmtId="0" fontId="0" fillId="11" borderId="2" xfId="0" applyFill="1" applyBorder="1"/>
    <xf numFmtId="9" fontId="0" fillId="10" borderId="26" xfId="0" applyNumberFormat="1" applyFill="1" applyBorder="1" applyAlignment="1">
      <alignment horizontal="center" wrapText="1"/>
    </xf>
    <xf numFmtId="9" fontId="15" fillId="8" borderId="32" xfId="0" applyNumberFormat="1" applyFont="1" applyFill="1" applyBorder="1" applyAlignment="1">
      <alignment horizontal="center" vertical="center" wrapText="1"/>
    </xf>
    <xf numFmtId="9" fontId="15" fillId="8" borderId="27" xfId="0" applyNumberFormat="1" applyFont="1" applyFill="1" applyBorder="1" applyAlignment="1">
      <alignment horizontal="center" vertical="center" wrapText="1"/>
    </xf>
    <xf numFmtId="9" fontId="15" fillId="8" borderId="28" xfId="0" applyNumberFormat="1" applyFont="1" applyFill="1" applyBorder="1" applyAlignment="1">
      <alignment horizontal="center" vertical="center" wrapText="1"/>
    </xf>
    <xf numFmtId="9" fontId="0" fillId="9" borderId="1" xfId="0" applyNumberFormat="1" applyFill="1" applyBorder="1" applyAlignment="1">
      <alignment horizontal="center" vertical="center" wrapText="1"/>
    </xf>
    <xf numFmtId="9" fontId="0" fillId="9" borderId="31"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0" fillId="9" borderId="23" xfId="0" applyFill="1" applyBorder="1" applyAlignment="1">
      <alignment horizontal="center" vertical="center" wrapText="1"/>
    </xf>
    <xf numFmtId="0" fontId="0" fillId="9" borderId="27" xfId="0" applyFill="1" applyBorder="1" applyAlignment="1">
      <alignment horizontal="center" vertical="center" wrapText="1"/>
    </xf>
    <xf numFmtId="0" fontId="0" fillId="0" borderId="12" xfId="0" applyBorder="1" applyAlignment="1">
      <alignment horizontal="left" wrapText="1"/>
    </xf>
    <xf numFmtId="9" fontId="0" fillId="9" borderId="33" xfId="0" applyNumberFormat="1" applyFill="1" applyBorder="1" applyAlignment="1">
      <alignment horizontal="center" vertical="center" wrapText="1"/>
    </xf>
    <xf numFmtId="9" fontId="0" fillId="0" borderId="21" xfId="0" applyNumberFormat="1" applyBorder="1" applyAlignment="1">
      <alignment horizontal="left"/>
    </xf>
    <xf numFmtId="9" fontId="0" fillId="9" borderId="28" xfId="0" applyNumberFormat="1" applyFill="1" applyBorder="1" applyAlignment="1">
      <alignment horizontal="center" wrapText="1"/>
    </xf>
    <xf numFmtId="0" fontId="0" fillId="11" borderId="34" xfId="0" applyFill="1" applyBorder="1" applyAlignment="1">
      <alignment horizontal="left"/>
    </xf>
    <xf numFmtId="9" fontId="0" fillId="9" borderId="32" xfId="0" applyNumberFormat="1" applyFill="1" applyBorder="1" applyAlignment="1">
      <alignment horizontal="center" wrapText="1"/>
    </xf>
    <xf numFmtId="9" fontId="0" fillId="9" borderId="27" xfId="0" applyNumberFormat="1" applyFill="1" applyBorder="1" applyAlignment="1">
      <alignment horizontal="center" wrapText="1"/>
    </xf>
    <xf numFmtId="0" fontId="0" fillId="0" borderId="21" xfId="0" applyBorder="1" applyAlignment="1">
      <alignment horizontal="left" wrapText="1"/>
    </xf>
    <xf numFmtId="9" fontId="0" fillId="9" borderId="35" xfId="0" applyNumberFormat="1" applyFill="1" applyBorder="1" applyAlignment="1">
      <alignment horizontal="center" wrapText="1"/>
    </xf>
    <xf numFmtId="9" fontId="0" fillId="9" borderId="36" xfId="0" applyNumberFormat="1" applyFill="1" applyBorder="1" applyAlignment="1">
      <alignment horizontal="center" wrapText="1"/>
    </xf>
    <xf numFmtId="0" fontId="0" fillId="0" borderId="15" xfId="0" applyBorder="1" applyAlignment="1">
      <alignment horizontal="left" wrapText="1"/>
    </xf>
    <xf numFmtId="9" fontId="0" fillId="9" borderId="37" xfId="0" applyNumberFormat="1" applyFill="1" applyBorder="1" applyAlignment="1">
      <alignment horizontal="center" wrapText="1"/>
    </xf>
    <xf numFmtId="0" fontId="0" fillId="0" borderId="34" xfId="0" applyBorder="1" applyAlignment="1">
      <alignment horizontal="left"/>
    </xf>
    <xf numFmtId="9" fontId="0" fillId="11" borderId="28" xfId="0" applyNumberFormat="1" applyFill="1" applyBorder="1" applyAlignment="1">
      <alignment horizontal="center" wrapText="1"/>
    </xf>
    <xf numFmtId="9" fontId="0" fillId="11" borderId="25" xfId="0" applyNumberFormat="1" applyFill="1" applyBorder="1" applyAlignment="1">
      <alignment horizontal="center" wrapText="1"/>
    </xf>
    <xf numFmtId="9" fontId="0" fillId="11" borderId="26" xfId="0" applyNumberFormat="1" applyFill="1" applyBorder="1" applyAlignment="1">
      <alignment horizontal="center" wrapText="1"/>
    </xf>
    <xf numFmtId="0" fontId="0" fillId="0" borderId="36" xfId="0" applyBorder="1" applyAlignment="1">
      <alignment horizontal="left"/>
    </xf>
    <xf numFmtId="0" fontId="0" fillId="11" borderId="38" xfId="0" applyFill="1" applyBorder="1" applyAlignment="1">
      <alignment horizontal="left"/>
    </xf>
    <xf numFmtId="9" fontId="15" fillId="8" borderId="25" xfId="0" applyNumberFormat="1" applyFont="1" applyFill="1" applyBorder="1" applyAlignment="1">
      <alignment horizontal="center" vertical="center" wrapText="1"/>
    </xf>
    <xf numFmtId="9" fontId="15" fillId="8" borderId="26" xfId="0" applyNumberFormat="1" applyFont="1" applyFill="1" applyBorder="1" applyAlignment="1">
      <alignment horizontal="center" vertical="center" wrapText="1"/>
    </xf>
    <xf numFmtId="0" fontId="0" fillId="11" borderId="39" xfId="0" applyFill="1" applyBorder="1"/>
    <xf numFmtId="0" fontId="0" fillId="11" borderId="27" xfId="0" applyFill="1" applyBorder="1" applyAlignment="1">
      <alignment horizontal="center"/>
    </xf>
    <xf numFmtId="0" fontId="0" fillId="11" borderId="28" xfId="0" applyFill="1" applyBorder="1" applyAlignment="1">
      <alignment horizontal="center"/>
    </xf>
    <xf numFmtId="9" fontId="0" fillId="11" borderId="26" xfId="0" applyNumberFormat="1" applyFill="1" applyBorder="1" applyAlignment="1">
      <alignment horizontal="center"/>
    </xf>
    <xf numFmtId="10" fontId="15" fillId="0" borderId="0" xfId="0" applyNumberFormat="1" applyFont="1" applyAlignment="1">
      <alignment vertical="center" wrapText="1"/>
    </xf>
    <xf numFmtId="0" fontId="0" fillId="0" borderId="35" xfId="0" applyBorder="1"/>
    <xf numFmtId="0" fontId="15" fillId="0" borderId="35" xfId="0" applyFont="1" applyBorder="1" applyAlignment="1">
      <alignment vertical="center" wrapText="1"/>
    </xf>
    <xf numFmtId="9" fontId="15" fillId="0" borderId="35" xfId="0" applyNumberFormat="1" applyFont="1" applyBorder="1" applyAlignment="1">
      <alignment vertical="center" wrapText="1"/>
    </xf>
    <xf numFmtId="0" fontId="0" fillId="12" borderId="40" xfId="0" applyFill="1" applyBorder="1" applyAlignment="1">
      <alignment horizontal="center" vertical="center" textRotation="90"/>
    </xf>
    <xf numFmtId="0" fontId="0" fillId="12" borderId="41" xfId="0" applyFill="1" applyBorder="1" applyAlignment="1">
      <alignment horizontal="center" vertical="center"/>
    </xf>
    <xf numFmtId="0" fontId="0" fillId="12" borderId="41" xfId="0" applyFill="1" applyBorder="1" applyAlignment="1">
      <alignment horizontal="center"/>
    </xf>
    <xf numFmtId="9" fontId="0" fillId="12" borderId="42" xfId="0" applyNumberFormat="1" applyFill="1" applyBorder="1" applyAlignment="1">
      <alignment horizontal="center"/>
    </xf>
    <xf numFmtId="0" fontId="15" fillId="12" borderId="43" xfId="0" applyFont="1" applyFill="1" applyBorder="1" applyAlignment="1">
      <alignment horizontal="left" vertical="center" wrapText="1"/>
    </xf>
    <xf numFmtId="10" fontId="15" fillId="12" borderId="5" xfId="0" applyNumberFormat="1" applyFont="1" applyFill="1" applyBorder="1" applyAlignment="1">
      <alignment horizontal="center" vertical="center" wrapText="1"/>
    </xf>
    <xf numFmtId="9" fontId="15" fillId="12" borderId="44" xfId="0" applyNumberFormat="1" applyFont="1" applyFill="1" applyBorder="1" applyAlignment="1">
      <alignment horizontal="center" vertical="center" wrapText="1"/>
    </xf>
    <xf numFmtId="165" fontId="14" fillId="0" borderId="0" xfId="0" applyNumberFormat="1" applyFont="1" applyAlignment="1">
      <alignment horizontal="center"/>
    </xf>
    <xf numFmtId="2" fontId="14" fillId="0" borderId="0" xfId="0" applyNumberFormat="1" applyFont="1" applyAlignment="1">
      <alignment horizontal="center"/>
    </xf>
    <xf numFmtId="9" fontId="14" fillId="0" borderId="0" xfId="0" applyNumberFormat="1" applyFont="1" applyAlignment="1">
      <alignment horizontal="center"/>
    </xf>
    <xf numFmtId="9" fontId="11" fillId="0" borderId="0" xfId="0" applyNumberFormat="1" applyFont="1" applyAlignment="1">
      <alignment horizontal="center"/>
    </xf>
    <xf numFmtId="2" fontId="14" fillId="0" borderId="34" xfId="0" applyNumberFormat="1" applyFont="1" applyBorder="1"/>
    <xf numFmtId="2" fontId="14" fillId="0" borderId="34" xfId="0" applyNumberFormat="1" applyFont="1" applyBorder="1" applyAlignment="1">
      <alignment horizontal="center"/>
    </xf>
    <xf numFmtId="9" fontId="14" fillId="0" borderId="45" xfId="0" applyNumberFormat="1" applyFont="1" applyBorder="1" applyAlignment="1">
      <alignment horizontal="center"/>
    </xf>
    <xf numFmtId="2" fontId="14" fillId="0" borderId="0" xfId="0" applyNumberFormat="1" applyFont="1" applyAlignment="1">
      <alignment horizontal="center" vertical="center"/>
    </xf>
    <xf numFmtId="165" fontId="11" fillId="0" borderId="0" xfId="0" applyNumberFormat="1" applyFont="1" applyAlignment="1">
      <alignment horizontal="center"/>
    </xf>
    <xf numFmtId="2" fontId="11" fillId="0" borderId="34" xfId="0" applyNumberFormat="1" applyFont="1" applyBorder="1"/>
    <xf numFmtId="0" fontId="13" fillId="0" borderId="0" xfId="0" applyFont="1"/>
    <xf numFmtId="0" fontId="0" fillId="0" borderId="34" xfId="0" applyBorder="1"/>
    <xf numFmtId="2" fontId="11" fillId="0" borderId="34" xfId="0" applyNumberFormat="1" applyFont="1" applyBorder="1" applyAlignment="1">
      <alignment horizontal="center"/>
    </xf>
    <xf numFmtId="0" fontId="0" fillId="0" borderId="34" xfId="0" applyBorder="1" applyAlignment="1">
      <alignment horizontal="center"/>
    </xf>
    <xf numFmtId="2" fontId="11" fillId="0" borderId="45" xfId="0" applyNumberFormat="1" applyFont="1" applyBorder="1" applyAlignment="1">
      <alignment horizontal="center"/>
    </xf>
    <xf numFmtId="9" fontId="11" fillId="0" borderId="45" xfId="0" applyNumberFormat="1" applyFont="1" applyBorder="1" applyAlignment="1">
      <alignment horizontal="center"/>
    </xf>
    <xf numFmtId="2" fontId="13" fillId="0" borderId="0" xfId="0" applyNumberFormat="1" applyFont="1" applyAlignment="1">
      <alignment horizontal="center"/>
    </xf>
    <xf numFmtId="9" fontId="15" fillId="8" borderId="0" xfId="0" applyNumberFormat="1" applyFont="1" applyFill="1" applyAlignment="1">
      <alignment horizontal="center" vertical="center" wrapText="1"/>
    </xf>
    <xf numFmtId="9" fontId="0" fillId="9" borderId="32" xfId="0" applyNumberFormat="1" applyFill="1" applyBorder="1" applyAlignment="1">
      <alignment horizontal="center" vertical="center" wrapText="1"/>
    </xf>
    <xf numFmtId="9" fontId="0" fillId="9" borderId="23" xfId="0" applyNumberFormat="1" applyFill="1" applyBorder="1" applyAlignment="1">
      <alignment horizontal="center" vertical="center" wrapText="1"/>
    </xf>
    <xf numFmtId="9" fontId="0" fillId="9" borderId="27" xfId="0" applyNumberFormat="1" applyFill="1" applyBorder="1" applyAlignment="1">
      <alignment horizontal="center" vertical="center" wrapText="1"/>
    </xf>
    <xf numFmtId="9" fontId="0" fillId="9" borderId="0" xfId="0" applyNumberFormat="1" applyFill="1" applyAlignment="1">
      <alignment horizontal="center" vertical="center" wrapText="1"/>
    </xf>
    <xf numFmtId="9" fontId="0" fillId="9" borderId="20" xfId="0" applyNumberFormat="1" applyFill="1" applyBorder="1" applyAlignment="1">
      <alignment horizontal="center" vertical="center" wrapText="1"/>
    </xf>
    <xf numFmtId="9" fontId="0" fillId="9" borderId="28" xfId="0" applyNumberFormat="1" applyFill="1" applyBorder="1" applyAlignment="1">
      <alignment horizontal="center" vertical="center" wrapText="1"/>
    </xf>
    <xf numFmtId="9" fontId="15" fillId="11" borderId="20" xfId="0" applyNumberFormat="1" applyFont="1" applyFill="1" applyBorder="1" applyAlignment="1">
      <alignment horizontal="center" vertical="center" wrapText="1"/>
    </xf>
    <xf numFmtId="0" fontId="0" fillId="11" borderId="28" xfId="0" applyFill="1" applyBorder="1"/>
    <xf numFmtId="0" fontId="15" fillId="11" borderId="0" xfId="0" applyFont="1" applyFill="1" applyAlignment="1">
      <alignment horizontal="left" vertical="center" wrapText="1"/>
    </xf>
    <xf numFmtId="9" fontId="15" fillId="11" borderId="0" xfId="0" applyNumberFormat="1" applyFont="1" applyFill="1" applyAlignment="1">
      <alignment horizontal="center" vertical="center" wrapText="1"/>
    </xf>
    <xf numFmtId="9" fontId="0" fillId="11" borderId="34" xfId="0" applyNumberFormat="1" applyFill="1" applyBorder="1" applyAlignment="1">
      <alignment horizontal="left" vertical="center" wrapText="1"/>
    </xf>
    <xf numFmtId="9" fontId="0" fillId="10" borderId="28" xfId="0" applyNumberFormat="1" applyFill="1" applyBorder="1" applyAlignment="1">
      <alignment horizontal="center"/>
    </xf>
    <xf numFmtId="9" fontId="15" fillId="11" borderId="28" xfId="0" applyNumberFormat="1" applyFont="1" applyFill="1" applyBorder="1" applyAlignment="1">
      <alignment horizontal="center" vertical="center" wrapText="1"/>
    </xf>
    <xf numFmtId="9" fontId="15" fillId="11" borderId="25" xfId="0" applyNumberFormat="1" applyFont="1" applyFill="1" applyBorder="1" applyAlignment="1">
      <alignment horizontal="center" vertical="center" wrapText="1"/>
    </xf>
    <xf numFmtId="9" fontId="15" fillId="11" borderId="26" xfId="0" applyNumberFormat="1" applyFont="1" applyFill="1" applyBorder="1" applyAlignment="1">
      <alignment horizontal="center" vertical="center" wrapText="1"/>
    </xf>
    <xf numFmtId="9" fontId="0" fillId="10" borderId="33" xfId="0" applyNumberFormat="1" applyFill="1" applyBorder="1" applyAlignment="1">
      <alignment horizontal="center" wrapText="1"/>
    </xf>
    <xf numFmtId="0" fontId="0" fillId="0" borderId="41" xfId="0" applyBorder="1"/>
    <xf numFmtId="9" fontId="15" fillId="8" borderId="42" xfId="0" applyNumberFormat="1" applyFont="1" applyFill="1" applyBorder="1" applyAlignment="1">
      <alignment horizontal="center" vertical="center" wrapText="1"/>
    </xf>
    <xf numFmtId="9" fontId="0" fillId="11" borderId="38" xfId="0" applyNumberFormat="1" applyFill="1" applyBorder="1" applyAlignment="1">
      <alignment horizontal="left" vertical="center" wrapText="1"/>
    </xf>
    <xf numFmtId="9" fontId="0" fillId="10" borderId="22" xfId="0" applyNumberFormat="1" applyFill="1" applyBorder="1" applyAlignment="1">
      <alignment horizontal="center" wrapText="1"/>
    </xf>
    <xf numFmtId="9" fontId="0" fillId="11" borderId="19" xfId="0" applyNumberFormat="1" applyFill="1" applyBorder="1" applyAlignment="1">
      <alignment horizontal="center"/>
    </xf>
    <xf numFmtId="9" fontId="0" fillId="9" borderId="26" xfId="0" applyNumberFormat="1" applyFill="1" applyBorder="1" applyAlignment="1">
      <alignment horizontal="center" wrapText="1"/>
    </xf>
    <xf numFmtId="0" fontId="0" fillId="0" borderId="12" xfId="0" applyBorder="1" applyAlignment="1">
      <alignment horizontal="left"/>
    </xf>
    <xf numFmtId="0" fontId="0" fillId="9" borderId="1" xfId="0" applyFill="1" applyBorder="1"/>
    <xf numFmtId="0" fontId="0" fillId="9" borderId="33" xfId="0" applyFill="1" applyBorder="1"/>
    <xf numFmtId="9" fontId="0" fillId="9" borderId="46" xfId="0" applyNumberFormat="1" applyFill="1" applyBorder="1" applyAlignment="1">
      <alignment horizontal="center" wrapText="1"/>
    </xf>
    <xf numFmtId="0" fontId="0" fillId="0" borderId="47" xfId="0" applyBorder="1" applyAlignment="1">
      <alignment horizontal="center"/>
    </xf>
    <xf numFmtId="9" fontId="0" fillId="0" borderId="4" xfId="0" applyNumberFormat="1" applyBorder="1"/>
    <xf numFmtId="9" fontId="15" fillId="8" borderId="6" xfId="0" applyNumberFormat="1" applyFont="1" applyFill="1" applyBorder="1" applyAlignment="1">
      <alignment horizontal="center" vertical="center" wrapText="1"/>
    </xf>
    <xf numFmtId="0" fontId="0" fillId="11" borderId="35" xfId="0" applyFill="1" applyBorder="1"/>
    <xf numFmtId="0" fontId="0" fillId="11" borderId="37" xfId="0" applyFill="1" applyBorder="1"/>
    <xf numFmtId="9" fontId="15" fillId="8" borderId="11" xfId="0" applyNumberFormat="1" applyFont="1" applyFill="1" applyBorder="1" applyAlignment="1">
      <alignment horizontal="center" vertical="center" wrapText="1"/>
    </xf>
    <xf numFmtId="0" fontId="0" fillId="11" borderId="49" xfId="0" applyFill="1" applyBorder="1"/>
    <xf numFmtId="9" fontId="0" fillId="12" borderId="12" xfId="0" applyNumberFormat="1" applyFill="1" applyBorder="1" applyAlignment="1">
      <alignment horizontal="left"/>
    </xf>
    <xf numFmtId="9" fontId="0" fillId="12" borderId="31" xfId="0" applyNumberFormat="1" applyFill="1" applyBorder="1" applyAlignment="1">
      <alignment horizontal="center" wrapText="1"/>
    </xf>
    <xf numFmtId="9" fontId="0" fillId="12" borderId="50" xfId="0" applyNumberFormat="1" applyFill="1" applyBorder="1" applyAlignment="1">
      <alignment horizontal="center" wrapText="1"/>
    </xf>
    <xf numFmtId="9" fontId="0" fillId="0" borderId="7" xfId="0" applyNumberFormat="1" applyBorder="1" applyAlignment="1">
      <alignment horizontal="left"/>
    </xf>
    <xf numFmtId="9" fontId="0" fillId="9" borderId="31" xfId="0" applyNumberFormat="1" applyFill="1" applyBorder="1" applyAlignment="1">
      <alignment horizontal="center"/>
    </xf>
    <xf numFmtId="0" fontId="0" fillId="9" borderId="31" xfId="0" applyFill="1" applyBorder="1" applyAlignment="1">
      <alignment horizontal="center"/>
    </xf>
    <xf numFmtId="9" fontId="0" fillId="9" borderId="16" xfId="0" applyNumberFormat="1" applyFill="1" applyBorder="1" applyAlignment="1">
      <alignment horizontal="center"/>
    </xf>
    <xf numFmtId="9" fontId="0" fillId="9" borderId="5" xfId="0" applyNumberFormat="1" applyFill="1" applyBorder="1" applyAlignment="1">
      <alignment horizontal="center"/>
    </xf>
    <xf numFmtId="0" fontId="0" fillId="9" borderId="5" xfId="0" applyFill="1" applyBorder="1" applyAlignment="1">
      <alignment horizontal="center"/>
    </xf>
    <xf numFmtId="0" fontId="0" fillId="9" borderId="22" xfId="0" applyFill="1" applyBorder="1" applyAlignment="1">
      <alignment horizontal="center"/>
    </xf>
    <xf numFmtId="9" fontId="0" fillId="9" borderId="51" xfId="0" applyNumberFormat="1" applyFill="1" applyBorder="1" applyAlignment="1">
      <alignment horizontal="center"/>
    </xf>
    <xf numFmtId="0" fontId="0" fillId="9" borderId="51" xfId="0" applyFill="1" applyBorder="1" applyAlignment="1">
      <alignment horizontal="center"/>
    </xf>
    <xf numFmtId="0" fontId="0" fillId="9" borderId="48" xfId="0" applyFill="1" applyBorder="1" applyAlignment="1">
      <alignment horizontal="center"/>
    </xf>
    <xf numFmtId="9" fontId="0" fillId="9" borderId="6" xfId="0" applyNumberFormat="1" applyFill="1" applyBorder="1" applyAlignment="1">
      <alignment horizontal="center"/>
    </xf>
    <xf numFmtId="0" fontId="0" fillId="9" borderId="6" xfId="0" applyFill="1" applyBorder="1" applyAlignment="1">
      <alignment horizontal="center"/>
    </xf>
    <xf numFmtId="9" fontId="0" fillId="9" borderId="52" xfId="0" applyNumberFormat="1" applyFill="1" applyBorder="1" applyAlignment="1">
      <alignment horizontal="center"/>
    </xf>
    <xf numFmtId="16" fontId="12" fillId="0" borderId="0" xfId="2" applyNumberFormat="1" applyFont="1" applyFill="1" applyBorder="1" applyAlignment="1">
      <alignment horizontal="center"/>
    </xf>
    <xf numFmtId="0" fontId="11" fillId="0" borderId="0" xfId="0" applyFont="1" applyAlignment="1">
      <alignment vertical="center"/>
    </xf>
    <xf numFmtId="0" fontId="12" fillId="0" borderId="0" xfId="2" quotePrefix="1" applyNumberFormat="1" applyFont="1" applyFill="1" applyBorder="1" applyAlignment="1">
      <alignment horizontal="center"/>
    </xf>
    <xf numFmtId="0" fontId="0" fillId="0" borderId="0" xfId="0" applyAlignment="1">
      <alignment horizontal="left"/>
    </xf>
    <xf numFmtId="0" fontId="8" fillId="0" borderId="0" xfId="0" applyFont="1" applyAlignment="1">
      <alignment horizontal="left"/>
    </xf>
    <xf numFmtId="16" fontId="12" fillId="0" borderId="0" xfId="2" quotePrefix="1" applyNumberFormat="1" applyFont="1" applyFill="1" applyAlignment="1">
      <alignment horizontal="center" wrapText="1"/>
    </xf>
    <xf numFmtId="0" fontId="0" fillId="0" borderId="1" xfId="0" applyBorder="1" applyAlignment="1">
      <alignment horizontal="left"/>
    </xf>
    <xf numFmtId="0" fontId="11" fillId="0" borderId="1" xfId="0" applyFont="1" applyBorder="1" applyAlignment="1">
      <alignment vertical="center"/>
    </xf>
    <xf numFmtId="0" fontId="8" fillId="0" borderId="27" xfId="0" applyFont="1" applyBorder="1" applyAlignment="1">
      <alignment wrapText="1"/>
    </xf>
    <xf numFmtId="0" fontId="16" fillId="0" borderId="0" xfId="0" applyFont="1" applyAlignment="1">
      <alignment vertical="center"/>
    </xf>
    <xf numFmtId="0" fontId="0" fillId="13" borderId="0" xfId="0" applyFill="1" applyAlignment="1">
      <alignment horizontal="left"/>
    </xf>
    <xf numFmtId="0" fontId="0" fillId="14" borderId="32" xfId="0" applyFill="1" applyBorder="1" applyAlignment="1">
      <alignment horizontal="left"/>
    </xf>
    <xf numFmtId="0" fontId="0" fillId="14" borderId="27" xfId="0" applyFill="1" applyBorder="1" applyAlignment="1">
      <alignment horizontal="left"/>
    </xf>
    <xf numFmtId="0" fontId="0" fillId="14" borderId="0" xfId="0" applyFill="1" applyAlignment="1">
      <alignment horizontal="left"/>
    </xf>
    <xf numFmtId="9" fontId="0" fillId="14" borderId="28" xfId="0" applyNumberFormat="1" applyFill="1" applyBorder="1" applyAlignment="1">
      <alignment horizontal="left" wrapText="1"/>
    </xf>
    <xf numFmtId="0" fontId="0" fillId="14" borderId="1" xfId="0" applyFill="1" applyBorder="1" applyAlignment="1">
      <alignment horizontal="left"/>
    </xf>
    <xf numFmtId="9" fontId="0" fillId="14" borderId="33" xfId="0" applyNumberFormat="1" applyFill="1" applyBorder="1" applyAlignment="1">
      <alignment horizontal="left"/>
    </xf>
    <xf numFmtId="9" fontId="0" fillId="14" borderId="33" xfId="0" applyNumberFormat="1" applyFill="1" applyBorder="1" applyAlignment="1">
      <alignment horizontal="left" wrapText="1"/>
    </xf>
    <xf numFmtId="9" fontId="0" fillId="14" borderId="28" xfId="0" applyNumberFormat="1" applyFill="1" applyBorder="1" applyAlignment="1">
      <alignment horizontal="left"/>
    </xf>
    <xf numFmtId="9" fontId="0" fillId="14" borderId="28" xfId="0" applyNumberFormat="1" applyFill="1" applyBorder="1" applyAlignment="1">
      <alignment horizontal="left" vertical="center"/>
    </xf>
    <xf numFmtId="9" fontId="0" fillId="14" borderId="33" xfId="0" applyNumberFormat="1" applyFill="1" applyBorder="1" applyAlignment="1">
      <alignment horizontal="left" vertical="center"/>
    </xf>
    <xf numFmtId="0" fontId="0" fillId="14" borderId="28" xfId="0" applyFill="1" applyBorder="1" applyAlignment="1">
      <alignment horizontal="left"/>
    </xf>
    <xf numFmtId="0" fontId="0" fillId="14" borderId="33" xfId="0" applyFill="1" applyBorder="1" applyAlignment="1">
      <alignment horizontal="left"/>
    </xf>
    <xf numFmtId="0" fontId="0" fillId="14" borderId="33" xfId="0" applyFill="1" applyBorder="1"/>
    <xf numFmtId="0" fontId="0" fillId="9" borderId="32" xfId="0" applyFill="1" applyBorder="1" applyAlignment="1">
      <alignment horizontal="left"/>
    </xf>
    <xf numFmtId="0" fontId="0" fillId="9" borderId="27" xfId="0" applyFill="1" applyBorder="1" applyAlignment="1">
      <alignment horizontal="left"/>
    </xf>
    <xf numFmtId="9" fontId="0" fillId="9" borderId="0" xfId="0" applyNumberFormat="1" applyFill="1" applyAlignment="1">
      <alignment horizontal="left" vertical="center" wrapText="1"/>
    </xf>
    <xf numFmtId="9" fontId="15" fillId="9" borderId="28" xfId="0" applyNumberFormat="1" applyFont="1" applyFill="1" applyBorder="1" applyAlignment="1">
      <alignment horizontal="left" vertical="center" wrapText="1"/>
    </xf>
    <xf numFmtId="9" fontId="0" fillId="9" borderId="1" xfId="0" applyNumberFormat="1" applyFill="1" applyBorder="1" applyAlignment="1">
      <alignment horizontal="left" vertical="center" wrapText="1"/>
    </xf>
    <xf numFmtId="9" fontId="15" fillId="9" borderId="33" xfId="0" applyNumberFormat="1" applyFont="1" applyFill="1" applyBorder="1" applyAlignment="1">
      <alignment horizontal="left" vertical="center" wrapText="1"/>
    </xf>
    <xf numFmtId="0" fontId="15" fillId="9" borderId="0" xfId="0" applyFont="1" applyFill="1" applyAlignment="1">
      <alignment horizontal="left" vertical="center" wrapText="1"/>
    </xf>
    <xf numFmtId="0" fontId="15" fillId="9" borderId="1" xfId="0" applyFont="1" applyFill="1" applyBorder="1" applyAlignment="1">
      <alignment horizontal="left" vertical="center" wrapText="1"/>
    </xf>
    <xf numFmtId="9" fontId="0" fillId="9" borderId="40" xfId="0" applyNumberFormat="1" applyFill="1" applyBorder="1" applyAlignment="1">
      <alignment horizontal="left" vertical="center" wrapText="1"/>
    </xf>
    <xf numFmtId="9" fontId="15" fillId="9" borderId="42" xfId="0" applyNumberFormat="1" applyFont="1" applyFill="1" applyBorder="1" applyAlignment="1">
      <alignment horizontal="left" vertical="center" wrapText="1"/>
    </xf>
    <xf numFmtId="0" fontId="0" fillId="9" borderId="0" xfId="0" applyFill="1" applyAlignment="1">
      <alignment horizontal="left"/>
    </xf>
    <xf numFmtId="0" fontId="0" fillId="9" borderId="28" xfId="0" applyFill="1" applyBorder="1" applyAlignment="1">
      <alignment horizontal="left"/>
    </xf>
    <xf numFmtId="0" fontId="0" fillId="9" borderId="1" xfId="0" applyFill="1" applyBorder="1" applyAlignment="1">
      <alignment horizontal="left"/>
    </xf>
    <xf numFmtId="0" fontId="0" fillId="9" borderId="33" xfId="0" applyFill="1" applyBorder="1" applyAlignment="1">
      <alignment horizontal="left"/>
    </xf>
    <xf numFmtId="9" fontId="0" fillId="9" borderId="28" xfId="0" applyNumberFormat="1" applyFill="1" applyBorder="1" applyAlignment="1">
      <alignment horizontal="left"/>
    </xf>
    <xf numFmtId="0" fontId="0" fillId="9" borderId="0" xfId="0" applyFill="1"/>
    <xf numFmtId="0" fontId="0" fillId="9" borderId="28" xfId="0" applyFill="1" applyBorder="1"/>
    <xf numFmtId="0" fontId="0" fillId="13" borderId="0" xfId="0" applyFill="1"/>
    <xf numFmtId="0" fontId="0" fillId="15" borderId="32" xfId="0" applyFill="1" applyBorder="1" applyAlignment="1">
      <alignment horizontal="left"/>
    </xf>
    <xf numFmtId="0" fontId="0" fillId="15" borderId="27" xfId="0" applyFill="1" applyBorder="1" applyAlignment="1">
      <alignment horizontal="left"/>
    </xf>
    <xf numFmtId="0" fontId="0" fillId="15" borderId="0" xfId="0" applyFill="1" applyAlignment="1">
      <alignment horizontal="left" wrapText="1"/>
    </xf>
    <xf numFmtId="0" fontId="0" fillId="15" borderId="1" xfId="0" applyFill="1" applyBorder="1" applyAlignment="1">
      <alignment horizontal="left" wrapText="1"/>
    </xf>
    <xf numFmtId="0" fontId="0" fillId="15" borderId="0" xfId="0" applyFill="1"/>
    <xf numFmtId="0" fontId="0" fillId="15" borderId="1" xfId="0" applyFill="1" applyBorder="1"/>
    <xf numFmtId="0" fontId="0" fillId="15" borderId="0" xfId="0" applyFill="1" applyAlignment="1">
      <alignment horizontal="left"/>
    </xf>
    <xf numFmtId="9" fontId="15" fillId="9" borderId="0" xfId="0" applyNumberFormat="1" applyFont="1" applyFill="1" applyAlignment="1">
      <alignment horizontal="left" vertical="center" wrapText="1"/>
    </xf>
    <xf numFmtId="9" fontId="15" fillId="9" borderId="1" xfId="0" applyNumberFormat="1" applyFont="1" applyFill="1" applyBorder="1" applyAlignment="1">
      <alignment horizontal="left" vertical="center" wrapText="1"/>
    </xf>
    <xf numFmtId="10" fontId="0" fillId="15" borderId="28" xfId="0" applyNumberFormat="1" applyFill="1" applyBorder="1" applyAlignment="1">
      <alignment horizontal="left" vertical="center" wrapText="1"/>
    </xf>
    <xf numFmtId="10" fontId="0" fillId="15" borderId="28" xfId="0" applyNumberFormat="1" applyFill="1" applyBorder="1" applyAlignment="1">
      <alignment horizontal="left" wrapText="1"/>
    </xf>
    <xf numFmtId="10" fontId="0" fillId="15" borderId="33" xfId="0" applyNumberFormat="1" applyFill="1" applyBorder="1" applyAlignment="1">
      <alignment horizontal="left" wrapText="1"/>
    </xf>
    <xf numFmtId="10" fontId="0" fillId="15" borderId="33" xfId="0" applyNumberFormat="1" applyFill="1" applyBorder="1" applyAlignment="1">
      <alignment horizontal="left" vertical="center"/>
    </xf>
    <xf numFmtId="10" fontId="0" fillId="15" borderId="28" xfId="0" applyNumberFormat="1" applyFill="1" applyBorder="1" applyAlignment="1">
      <alignment horizontal="left"/>
    </xf>
    <xf numFmtId="10" fontId="0" fillId="15" borderId="28" xfId="0" applyNumberFormat="1" applyFill="1" applyBorder="1"/>
    <xf numFmtId="10" fontId="0" fillId="15" borderId="33" xfId="0" applyNumberFormat="1" applyFill="1" applyBorder="1"/>
    <xf numFmtId="2" fontId="12" fillId="0" borderId="0" xfId="0" applyNumberFormat="1" applyFont="1" applyAlignment="1">
      <alignment horizontal="center"/>
    </xf>
    <xf numFmtId="164" fontId="11" fillId="0" borderId="0" xfId="0" applyNumberFormat="1" applyFont="1" applyAlignment="1">
      <alignment horizontal="center"/>
    </xf>
    <xf numFmtId="0" fontId="12" fillId="0" borderId="0" xfId="2" applyNumberFormat="1" applyFont="1" applyFill="1" applyBorder="1" applyAlignment="1">
      <alignment horizontal="center" wrapText="1"/>
    </xf>
    <xf numFmtId="9" fontId="14" fillId="0" borderId="0" xfId="2" applyFont="1" applyFill="1" applyBorder="1"/>
    <xf numFmtId="0" fontId="12" fillId="0" borderId="0" xfId="0" applyFont="1" applyAlignment="1">
      <alignment vertical="center"/>
    </xf>
    <xf numFmtId="0" fontId="12" fillId="6" borderId="0" xfId="0" applyFont="1" applyFill="1" applyAlignment="1">
      <alignment horizontal="center"/>
    </xf>
    <xf numFmtId="0" fontId="12" fillId="6" borderId="0" xfId="0" applyFont="1" applyFill="1" applyAlignment="1">
      <alignment horizontal="center" wrapText="1"/>
    </xf>
    <xf numFmtId="2" fontId="11" fillId="6" borderId="0" xfId="0" applyNumberFormat="1" applyFont="1" applyFill="1"/>
    <xf numFmtId="2" fontId="12" fillId="6" borderId="0" xfId="0" applyNumberFormat="1" applyFont="1" applyFill="1" applyAlignment="1">
      <alignment horizontal="center"/>
    </xf>
    <xf numFmtId="2" fontId="11" fillId="6" borderId="0" xfId="0" applyNumberFormat="1" applyFont="1" applyFill="1" applyAlignment="1">
      <alignment horizontal="center"/>
    </xf>
    <xf numFmtId="9" fontId="12" fillId="6" borderId="0" xfId="2" applyFont="1" applyFill="1" applyBorder="1"/>
    <xf numFmtId="0" fontId="0" fillId="6" borderId="0" xfId="0" applyFill="1"/>
    <xf numFmtId="0" fontId="9" fillId="6" borderId="0" xfId="0" applyFont="1" applyFill="1"/>
    <xf numFmtId="16" fontId="12" fillId="6" borderId="0" xfId="2" quotePrefix="1" applyNumberFormat="1" applyFont="1" applyFill="1" applyAlignment="1">
      <alignment horizontal="center"/>
    </xf>
    <xf numFmtId="0" fontId="12" fillId="6" borderId="0" xfId="0" applyFont="1" applyFill="1"/>
    <xf numFmtId="2" fontId="12" fillId="6" borderId="0" xfId="0" applyNumberFormat="1" applyFont="1" applyFill="1"/>
    <xf numFmtId="165" fontId="11" fillId="6" borderId="0" xfId="2" applyNumberFormat="1" applyFont="1" applyFill="1"/>
    <xf numFmtId="2" fontId="14" fillId="6" borderId="0" xfId="0" applyNumberFormat="1" applyFont="1" applyFill="1" applyAlignment="1">
      <alignment horizontal="center"/>
    </xf>
    <xf numFmtId="2" fontId="14" fillId="6" borderId="34" xfId="0" applyNumberFormat="1" applyFont="1" applyFill="1" applyBorder="1" applyAlignment="1">
      <alignment horizontal="center"/>
    </xf>
    <xf numFmtId="9" fontId="14" fillId="6" borderId="0" xfId="2" applyFont="1" applyFill="1" applyBorder="1" applyAlignment="1">
      <alignment horizontal="center"/>
    </xf>
    <xf numFmtId="0" fontId="0" fillId="6" borderId="0" xfId="0" applyFill="1" applyAlignment="1">
      <alignment horizontal="center"/>
    </xf>
    <xf numFmtId="0" fontId="12" fillId="6" borderId="0" xfId="2" quotePrefix="1" applyNumberFormat="1" applyFont="1" applyFill="1" applyAlignment="1">
      <alignment horizontal="center"/>
    </xf>
    <xf numFmtId="0" fontId="14" fillId="6" borderId="0" xfId="0" applyFont="1" applyFill="1" applyAlignment="1">
      <alignment horizontal="center"/>
    </xf>
    <xf numFmtId="2" fontId="11" fillId="6" borderId="45" xfId="0" applyNumberFormat="1" applyFont="1" applyFill="1" applyBorder="1" applyAlignment="1">
      <alignment horizontal="center"/>
    </xf>
    <xf numFmtId="0" fontId="12" fillId="6" borderId="0" xfId="2" applyNumberFormat="1" applyFont="1" applyFill="1" applyAlignment="1">
      <alignment horizontal="center"/>
    </xf>
    <xf numFmtId="16" fontId="12" fillId="6" borderId="0" xfId="2" applyNumberFormat="1" applyFont="1" applyFill="1" applyAlignment="1">
      <alignment horizontal="center"/>
    </xf>
    <xf numFmtId="2" fontId="12" fillId="6" borderId="0" xfId="2" applyNumberFormat="1" applyFont="1" applyFill="1" applyAlignment="1">
      <alignment horizontal="center"/>
    </xf>
    <xf numFmtId="0" fontId="8" fillId="6" borderId="0" xfId="0" applyFont="1" applyFill="1"/>
    <xf numFmtId="2" fontId="14" fillId="6" borderId="34" xfId="0" applyNumberFormat="1" applyFont="1" applyFill="1" applyBorder="1"/>
    <xf numFmtId="0" fontId="12" fillId="6" borderId="0" xfId="0" applyFont="1" applyFill="1" applyAlignment="1">
      <alignment horizontal="right"/>
    </xf>
    <xf numFmtId="16" fontId="12" fillId="0" borderId="0" xfId="2" quotePrefix="1" applyNumberFormat="1" applyFont="1" applyFill="1" applyBorder="1" applyAlignment="1">
      <alignment horizontal="center"/>
    </xf>
    <xf numFmtId="9" fontId="0" fillId="0" borderId="0" xfId="0" applyNumberFormat="1" applyAlignment="1">
      <alignment horizontal="center"/>
    </xf>
    <xf numFmtId="16" fontId="12" fillId="0" borderId="0" xfId="2" applyNumberFormat="1" applyFont="1" applyFill="1" applyAlignment="1"/>
    <xf numFmtId="16" fontId="12" fillId="0" borderId="0" xfId="2" quotePrefix="1" applyNumberFormat="1" applyFont="1" applyFill="1" applyAlignment="1"/>
    <xf numFmtId="0" fontId="15" fillId="0" borderId="36" xfId="0" applyFont="1" applyBorder="1" applyAlignment="1">
      <alignment horizontal="left" vertical="center" wrapText="1"/>
    </xf>
    <xf numFmtId="9" fontId="0" fillId="10" borderId="45" xfId="0" applyNumberFormat="1" applyFill="1" applyBorder="1" applyAlignment="1">
      <alignment horizontal="center" wrapText="1"/>
    </xf>
    <xf numFmtId="0" fontId="15" fillId="0" borderId="39" xfId="0" applyFont="1" applyBorder="1" applyAlignment="1">
      <alignment horizontal="left" vertical="center" wrapText="1"/>
    </xf>
    <xf numFmtId="0" fontId="0" fillId="0" borderId="36" xfId="0" applyBorder="1" applyAlignment="1">
      <alignment horizontal="left" wrapText="1"/>
    </xf>
    <xf numFmtId="0" fontId="15" fillId="0" borderId="2" xfId="0" applyFont="1" applyBorder="1" applyAlignment="1">
      <alignment horizontal="left" vertical="center" wrapText="1"/>
    </xf>
    <xf numFmtId="0" fontId="0" fillId="0" borderId="34" xfId="0" applyBorder="1" applyAlignment="1">
      <alignment horizontal="left" wrapText="1"/>
    </xf>
    <xf numFmtId="0" fontId="15" fillId="11" borderId="24" xfId="0" applyFont="1" applyFill="1" applyBorder="1" applyAlignment="1">
      <alignment horizontal="left" vertical="center" wrapText="1"/>
    </xf>
    <xf numFmtId="3" fontId="0" fillId="0" borderId="5" xfId="0" applyNumberFormat="1" applyBorder="1" applyAlignment="1">
      <alignment horizontal="center"/>
    </xf>
    <xf numFmtId="0" fontId="0" fillId="11" borderId="32" xfId="0" applyFill="1" applyBorder="1" applyAlignment="1">
      <alignment horizontal="center"/>
    </xf>
    <xf numFmtId="9" fontId="0" fillId="11" borderId="25" xfId="0" applyNumberFormat="1" applyFill="1" applyBorder="1" applyAlignment="1">
      <alignment horizontal="center"/>
    </xf>
    <xf numFmtId="9" fontId="17" fillId="0" borderId="17" xfId="0" applyNumberFormat="1" applyFont="1" applyBorder="1" applyAlignment="1">
      <alignment horizontal="left"/>
    </xf>
    <xf numFmtId="3" fontId="0" fillId="0" borderId="0" xfId="0" applyNumberFormat="1"/>
    <xf numFmtId="2" fontId="14" fillId="6" borderId="0" xfId="0" applyNumberFormat="1" applyFont="1" applyFill="1"/>
    <xf numFmtId="0" fontId="11" fillId="6" borderId="0" xfId="0" applyFont="1" applyFill="1" applyAlignment="1">
      <alignment horizontal="center"/>
    </xf>
    <xf numFmtId="164" fontId="12" fillId="0" borderId="0" xfId="0" applyNumberFormat="1" applyFont="1" applyAlignment="1">
      <alignment horizontal="center"/>
    </xf>
    <xf numFmtId="0" fontId="0" fillId="0" borderId="45" xfId="0" applyBorder="1" applyAlignment="1">
      <alignment horizontal="center"/>
    </xf>
    <xf numFmtId="0" fontId="0" fillId="13" borderId="0" xfId="0" applyFill="1" applyAlignment="1">
      <alignment horizontal="center" vertical="center" wrapText="1"/>
    </xf>
    <xf numFmtId="0" fontId="0" fillId="13" borderId="0" xfId="0" applyFill="1" applyAlignment="1">
      <alignment vertical="center" wrapText="1"/>
    </xf>
    <xf numFmtId="0" fontId="0" fillId="16" borderId="0" xfId="0" applyFill="1" applyAlignment="1">
      <alignment horizontal="center" vertical="center" wrapText="1"/>
    </xf>
    <xf numFmtId="0" fontId="0" fillId="16" borderId="0" xfId="0" applyFill="1" applyAlignment="1">
      <alignment vertical="center" wrapText="1"/>
    </xf>
    <xf numFmtId="0" fontId="0" fillId="17" borderId="0" xfId="0" applyFill="1" applyAlignment="1">
      <alignment horizontal="center" vertical="center" wrapText="1"/>
    </xf>
    <xf numFmtId="0" fontId="0" fillId="17" borderId="0" xfId="0" applyFill="1" applyAlignment="1">
      <alignment vertical="center" wrapText="1"/>
    </xf>
    <xf numFmtId="2" fontId="0" fillId="0" borderId="0" xfId="0" applyNumberFormat="1" applyAlignment="1">
      <alignment horizontal="center"/>
    </xf>
    <xf numFmtId="0" fontId="14" fillId="6" borderId="0" xfId="0" applyFont="1" applyFill="1"/>
    <xf numFmtId="9" fontId="12" fillId="0" borderId="0" xfId="2" applyFont="1" applyFill="1" applyBorder="1"/>
    <xf numFmtId="9" fontId="14" fillId="6" borderId="0" xfId="2" applyFont="1" applyFill="1" applyBorder="1"/>
    <xf numFmtId="2" fontId="9" fillId="6" borderId="0" xfId="0" applyNumberFormat="1" applyFont="1" applyFill="1"/>
    <xf numFmtId="2" fontId="8" fillId="0" borderId="0" xfId="0" applyNumberFormat="1" applyFont="1" applyAlignment="1">
      <alignment horizontal="center" wrapText="1"/>
    </xf>
    <xf numFmtId="1" fontId="12" fillId="0" borderId="0" xfId="0" applyNumberFormat="1" applyFont="1" applyAlignment="1">
      <alignment horizontal="center"/>
    </xf>
    <xf numFmtId="165" fontId="14" fillId="6" borderId="0" xfId="0" applyNumberFormat="1" applyFont="1" applyFill="1" applyAlignment="1">
      <alignment horizontal="center"/>
    </xf>
    <xf numFmtId="164" fontId="11" fillId="6" borderId="0" xfId="0" applyNumberFormat="1" applyFont="1" applyFill="1" applyAlignment="1">
      <alignment horizontal="center"/>
    </xf>
    <xf numFmtId="9" fontId="14" fillId="6" borderId="0" xfId="0" applyNumberFormat="1" applyFont="1" applyFill="1" applyAlignment="1">
      <alignment horizontal="center"/>
    </xf>
    <xf numFmtId="2" fontId="13" fillId="0" borderId="45" xfId="0" applyNumberFormat="1" applyFont="1" applyBorder="1"/>
    <xf numFmtId="2" fontId="14" fillId="0" borderId="45" xfId="0" applyNumberFormat="1" applyFont="1" applyBorder="1" applyAlignment="1">
      <alignment horizontal="center"/>
    </xf>
    <xf numFmtId="2" fontId="14" fillId="6" borderId="45" xfId="0" applyNumberFormat="1" applyFont="1" applyFill="1" applyBorder="1" applyAlignment="1">
      <alignment horizontal="center"/>
    </xf>
    <xf numFmtId="0" fontId="0" fillId="6" borderId="45" xfId="0" applyFill="1" applyBorder="1" applyAlignment="1">
      <alignment horizontal="center"/>
    </xf>
    <xf numFmtId="2" fontId="11" fillId="0" borderId="45" xfId="0" applyNumberFormat="1" applyFont="1" applyBorder="1"/>
    <xf numFmtId="2" fontId="11" fillId="6" borderId="45" xfId="0" applyNumberFormat="1" applyFont="1" applyFill="1" applyBorder="1"/>
    <xf numFmtId="2" fontId="14" fillId="6" borderId="45" xfId="0" applyNumberFormat="1" applyFont="1" applyFill="1" applyBorder="1"/>
    <xf numFmtId="2" fontId="13" fillId="0" borderId="34" xfId="0" applyNumberFormat="1" applyFont="1" applyBorder="1" applyAlignment="1">
      <alignment horizontal="center"/>
    </xf>
    <xf numFmtId="0" fontId="0" fillId="6" borderId="34" xfId="0" applyFill="1" applyBorder="1"/>
    <xf numFmtId="2" fontId="8" fillId="0" borderId="34" xfId="0" applyNumberFormat="1" applyFont="1" applyBorder="1" applyAlignment="1">
      <alignment horizontal="center" wrapText="1"/>
    </xf>
    <xf numFmtId="9" fontId="14" fillId="6" borderId="45" xfId="0" applyNumberFormat="1" applyFont="1" applyFill="1" applyBorder="1" applyAlignment="1">
      <alignment horizontal="center"/>
    </xf>
    <xf numFmtId="165" fontId="11" fillId="6" borderId="0" xfId="0" applyNumberFormat="1" applyFont="1" applyFill="1" applyAlignment="1">
      <alignment horizontal="center"/>
    </xf>
    <xf numFmtId="0" fontId="0" fillId="6" borderId="0" xfId="0" applyFill="1" applyAlignment="1">
      <alignment wrapText="1"/>
    </xf>
    <xf numFmtId="9" fontId="18" fillId="0" borderId="0" xfId="0" applyNumberFormat="1" applyFont="1" applyAlignment="1">
      <alignment horizontal="center"/>
    </xf>
    <xf numFmtId="2" fontId="13" fillId="0" borderId="0" xfId="0" applyNumberFormat="1" applyFont="1" applyAlignment="1">
      <alignment horizontal="center" wrapText="1"/>
    </xf>
    <xf numFmtId="2" fontId="13" fillId="0" borderId="34" xfId="0" applyNumberFormat="1" applyFont="1" applyBorder="1" applyAlignment="1">
      <alignment horizontal="center" wrapText="1"/>
    </xf>
    <xf numFmtId="0" fontId="12" fillId="8" borderId="0" xfId="0" applyFont="1" applyFill="1" applyAlignment="1">
      <alignment vertical="center"/>
    </xf>
    <xf numFmtId="0" fontId="12" fillId="8" borderId="0" xfId="0" applyFont="1" applyFill="1"/>
    <xf numFmtId="0" fontId="12" fillId="8" borderId="0" xfId="0" applyFont="1" applyFill="1" applyAlignment="1">
      <alignment horizontal="center" wrapText="1"/>
    </xf>
    <xf numFmtId="2" fontId="12" fillId="8" borderId="0" xfId="0" applyNumberFormat="1" applyFont="1" applyFill="1"/>
    <xf numFmtId="165" fontId="11" fillId="8" borderId="0" xfId="2" applyNumberFormat="1" applyFont="1" applyFill="1"/>
    <xf numFmtId="2" fontId="11" fillId="8" borderId="0" xfId="0" applyNumberFormat="1" applyFont="1" applyFill="1"/>
    <xf numFmtId="2" fontId="12" fillId="8" borderId="0" xfId="0" applyNumberFormat="1" applyFont="1" applyFill="1" applyAlignment="1">
      <alignment horizontal="center"/>
    </xf>
    <xf numFmtId="2" fontId="14" fillId="8" borderId="45" xfId="0" applyNumberFormat="1" applyFont="1" applyFill="1" applyBorder="1" applyAlignment="1">
      <alignment horizontal="center"/>
    </xf>
    <xf numFmtId="2" fontId="14" fillId="8" borderId="0" xfId="0" applyNumberFormat="1" applyFont="1" applyFill="1" applyAlignment="1">
      <alignment horizontal="center"/>
    </xf>
    <xf numFmtId="2" fontId="11" fillId="8" borderId="0" xfId="0" applyNumberFormat="1" applyFont="1" applyFill="1" applyAlignment="1">
      <alignment horizontal="center"/>
    </xf>
    <xf numFmtId="0" fontId="0" fillId="8" borderId="0" xfId="0" applyFill="1"/>
    <xf numFmtId="0" fontId="14" fillId="8" borderId="0" xfId="0" applyFont="1" applyFill="1" applyAlignment="1">
      <alignment horizontal="center"/>
    </xf>
    <xf numFmtId="2" fontId="11" fillId="8" borderId="34" xfId="0" applyNumberFormat="1" applyFont="1" applyFill="1" applyBorder="1" applyAlignment="1">
      <alignment horizontal="center"/>
    </xf>
    <xf numFmtId="0" fontId="0" fillId="8" borderId="34" xfId="0" applyFill="1" applyBorder="1"/>
    <xf numFmtId="0" fontId="12" fillId="8" borderId="0" xfId="2" quotePrefix="1" applyNumberFormat="1" applyFont="1" applyFill="1" applyAlignment="1">
      <alignment horizontal="center"/>
    </xf>
    <xf numFmtId="0" fontId="12" fillId="8" borderId="0" xfId="0" applyFont="1" applyFill="1" applyAlignment="1">
      <alignment horizontal="center"/>
    </xf>
    <xf numFmtId="9" fontId="11" fillId="8" borderId="45" xfId="0" applyNumberFormat="1" applyFont="1" applyFill="1" applyBorder="1" applyAlignment="1">
      <alignment horizontal="center"/>
    </xf>
    <xf numFmtId="9" fontId="11" fillId="8" borderId="0" xfId="0" applyNumberFormat="1" applyFont="1" applyFill="1" applyAlignment="1">
      <alignment horizontal="center"/>
    </xf>
    <xf numFmtId="2" fontId="0" fillId="8" borderId="0" xfId="0" applyNumberFormat="1" applyFill="1" applyAlignment="1">
      <alignment horizontal="center"/>
    </xf>
    <xf numFmtId="9" fontId="0" fillId="8" borderId="0" xfId="0" applyNumberFormat="1" applyFill="1" applyAlignment="1">
      <alignment horizontal="center"/>
    </xf>
    <xf numFmtId="9" fontId="14" fillId="8" borderId="0" xfId="0" applyNumberFormat="1" applyFont="1" applyFill="1" applyAlignment="1">
      <alignment horizontal="center"/>
    </xf>
    <xf numFmtId="2" fontId="14" fillId="8" borderId="34" xfId="0" applyNumberFormat="1" applyFont="1" applyFill="1" applyBorder="1" applyAlignment="1">
      <alignment horizontal="center"/>
    </xf>
    <xf numFmtId="2" fontId="8" fillId="8" borderId="0" xfId="0" applyNumberFormat="1" applyFont="1" applyFill="1" applyAlignment="1">
      <alignment horizontal="center" wrapText="1"/>
    </xf>
    <xf numFmtId="2" fontId="8" fillId="8" borderId="34" xfId="0" applyNumberFormat="1" applyFont="1" applyFill="1" applyBorder="1" applyAlignment="1">
      <alignment horizontal="center" wrapText="1"/>
    </xf>
    <xf numFmtId="2" fontId="11" fillId="8" borderId="45" xfId="0" applyNumberFormat="1" applyFont="1" applyFill="1" applyBorder="1" applyAlignment="1">
      <alignment horizontal="center"/>
    </xf>
    <xf numFmtId="2" fontId="11" fillId="8" borderId="45" xfId="0" applyNumberFormat="1" applyFont="1" applyFill="1" applyBorder="1"/>
    <xf numFmtId="9" fontId="12" fillId="8" borderId="0" xfId="2" applyFont="1" applyFill="1" applyBorder="1"/>
    <xf numFmtId="2" fontId="14" fillId="8" borderId="0" xfId="0" applyNumberFormat="1" applyFont="1" applyFill="1"/>
    <xf numFmtId="0" fontId="12" fillId="8" borderId="0" xfId="0" applyFont="1" applyFill="1" applyAlignment="1">
      <alignment horizontal="right"/>
    </xf>
    <xf numFmtId="0" fontId="11" fillId="8" borderId="0" xfId="0" applyFont="1" applyFill="1" applyAlignment="1">
      <alignment horizontal="center"/>
    </xf>
    <xf numFmtId="164" fontId="11" fillId="8" borderId="0" xfId="0" applyNumberFormat="1" applyFont="1" applyFill="1" applyAlignment="1">
      <alignment horizontal="center"/>
    </xf>
    <xf numFmtId="165" fontId="14" fillId="8" borderId="0" xfId="0" applyNumberFormat="1" applyFont="1" applyFill="1" applyAlignment="1">
      <alignment horizontal="center"/>
    </xf>
    <xf numFmtId="9" fontId="14" fillId="8" borderId="45" xfId="0" applyNumberFormat="1" applyFont="1" applyFill="1" applyBorder="1" applyAlignment="1">
      <alignment horizontal="center"/>
    </xf>
    <xf numFmtId="2" fontId="0" fillId="8" borderId="0" xfId="0" applyNumberFormat="1" applyFill="1" applyAlignment="1">
      <alignment vertical="center"/>
    </xf>
    <xf numFmtId="9" fontId="0" fillId="8" borderId="34" xfId="0" applyNumberFormat="1" applyFill="1" applyBorder="1" applyAlignment="1">
      <alignment vertical="center"/>
    </xf>
    <xf numFmtId="166" fontId="0" fillId="8" borderId="34" xfId="0" applyNumberFormat="1" applyFill="1" applyBorder="1" applyAlignment="1">
      <alignment vertical="center"/>
    </xf>
    <xf numFmtId="2" fontId="8" fillId="8" borderId="45" xfId="0" applyNumberFormat="1" applyFont="1" applyFill="1" applyBorder="1" applyAlignment="1">
      <alignment vertical="center" wrapText="1"/>
    </xf>
    <xf numFmtId="2" fontId="8" fillId="8" borderId="0" xfId="0" applyNumberFormat="1" applyFont="1" applyFill="1" applyAlignment="1">
      <alignment vertical="center" wrapText="1"/>
    </xf>
    <xf numFmtId="2" fontId="8" fillId="8" borderId="34" xfId="0" applyNumberFormat="1" applyFont="1" applyFill="1" applyBorder="1" applyAlignment="1">
      <alignment vertical="center" wrapText="1"/>
    </xf>
    <xf numFmtId="1" fontId="12" fillId="8" borderId="0" xfId="2" applyNumberFormat="1" applyFont="1" applyFill="1" applyAlignment="1">
      <alignment horizontal="center"/>
    </xf>
    <xf numFmtId="2" fontId="0" fillId="6" borderId="0" xfId="0" applyNumberFormat="1" applyFill="1" applyAlignment="1">
      <alignment vertical="center"/>
    </xf>
    <xf numFmtId="9" fontId="0" fillId="6" borderId="34" xfId="0" applyNumberFormat="1" applyFill="1" applyBorder="1" applyAlignment="1">
      <alignment vertical="center"/>
    </xf>
    <xf numFmtId="2" fontId="13" fillId="8" borderId="45" xfId="0" applyNumberFormat="1" applyFont="1" applyFill="1" applyBorder="1" applyAlignment="1">
      <alignment horizontal="center" vertical="center" wrapText="1"/>
    </xf>
    <xf numFmtId="2" fontId="13" fillId="8" borderId="0" xfId="0" applyNumberFormat="1" applyFont="1" applyFill="1" applyAlignment="1">
      <alignment horizontal="center" vertical="center" wrapText="1"/>
    </xf>
    <xf numFmtId="2" fontId="13" fillId="8" borderId="34" xfId="0" applyNumberFormat="1" applyFont="1" applyFill="1" applyBorder="1" applyAlignment="1">
      <alignment horizontal="center" vertical="center" wrapText="1"/>
    </xf>
    <xf numFmtId="0" fontId="12" fillId="18" borderId="0" xfId="0" applyFont="1" applyFill="1"/>
    <xf numFmtId="0" fontId="12" fillId="18" borderId="0" xfId="0" applyFont="1" applyFill="1" applyAlignment="1">
      <alignment horizontal="center" wrapText="1"/>
    </xf>
    <xf numFmtId="2" fontId="12" fillId="18" borderId="0" xfId="0" applyNumberFormat="1" applyFont="1" applyFill="1"/>
    <xf numFmtId="165" fontId="11" fillId="18" borderId="0" xfId="2" applyNumberFormat="1" applyFont="1" applyFill="1"/>
    <xf numFmtId="2" fontId="11" fillId="18" borderId="0" xfId="0" applyNumberFormat="1" applyFont="1" applyFill="1"/>
    <xf numFmtId="2" fontId="14" fillId="18" borderId="0" xfId="0" applyNumberFormat="1" applyFont="1" applyFill="1"/>
    <xf numFmtId="2" fontId="12" fillId="18" borderId="0" xfId="0" applyNumberFormat="1" applyFont="1" applyFill="1" applyAlignment="1">
      <alignment horizontal="center"/>
    </xf>
    <xf numFmtId="2" fontId="11" fillId="18" borderId="45" xfId="0" applyNumberFormat="1" applyFont="1" applyFill="1" applyBorder="1" applyAlignment="1">
      <alignment horizontal="center"/>
    </xf>
    <xf numFmtId="2" fontId="11" fillId="18" borderId="0" xfId="0" applyNumberFormat="1" applyFont="1" applyFill="1" applyAlignment="1">
      <alignment horizontal="center"/>
    </xf>
    <xf numFmtId="0" fontId="0" fillId="18" borderId="0" xfId="0" applyFill="1"/>
    <xf numFmtId="9" fontId="12" fillId="18" borderId="0" xfId="2" applyFont="1" applyFill="1" applyBorder="1"/>
    <xf numFmtId="2" fontId="14" fillId="18" borderId="34" xfId="0" applyNumberFormat="1" applyFont="1" applyFill="1" applyBorder="1"/>
    <xf numFmtId="0" fontId="0" fillId="18" borderId="34" xfId="0" applyFill="1" applyBorder="1"/>
    <xf numFmtId="164" fontId="11" fillId="18" borderId="0" xfId="0" applyNumberFormat="1" applyFont="1" applyFill="1" applyAlignment="1">
      <alignment horizontal="center"/>
    </xf>
    <xf numFmtId="2" fontId="11" fillId="18" borderId="45" xfId="0" applyNumberFormat="1" applyFont="1" applyFill="1" applyBorder="1"/>
    <xf numFmtId="0" fontId="0" fillId="0" borderId="45" xfId="0" applyBorder="1"/>
    <xf numFmtId="2" fontId="0" fillId="0" borderId="45" xfId="0" applyNumberFormat="1" applyBorder="1" applyAlignment="1">
      <alignment horizontal="center"/>
    </xf>
    <xf numFmtId="2" fontId="0" fillId="0" borderId="34" xfId="0" applyNumberFormat="1" applyBorder="1" applyAlignment="1">
      <alignment horizontal="center"/>
    </xf>
    <xf numFmtId="2" fontId="0" fillId="8" borderId="45" xfId="0" applyNumberFormat="1" applyFill="1" applyBorder="1" applyAlignment="1">
      <alignment horizontal="center"/>
    </xf>
    <xf numFmtId="2" fontId="0" fillId="8" borderId="34" xfId="0" applyNumberFormat="1" applyFill="1" applyBorder="1" applyAlignment="1">
      <alignment horizontal="center"/>
    </xf>
    <xf numFmtId="2" fontId="0" fillId="8" borderId="34" xfId="0" applyNumberFormat="1" applyFill="1" applyBorder="1" applyAlignment="1">
      <alignment vertical="center"/>
    </xf>
    <xf numFmtId="2" fontId="14" fillId="8" borderId="0" xfId="2" applyNumberFormat="1" applyFont="1" applyFill="1" applyBorder="1"/>
    <xf numFmtId="2" fontId="14" fillId="6" borderId="0" xfId="2" applyNumberFormat="1" applyFont="1" applyFill="1" applyBorder="1"/>
    <xf numFmtId="2" fontId="14" fillId="0" borderId="0" xfId="2" applyNumberFormat="1" applyFont="1" applyBorder="1"/>
    <xf numFmtId="2" fontId="12" fillId="6" borderId="0" xfId="2" applyNumberFormat="1" applyFont="1" applyFill="1" applyBorder="1"/>
    <xf numFmtId="2" fontId="12" fillId="0" borderId="0" xfId="2" applyNumberFormat="1" applyFont="1" applyBorder="1"/>
    <xf numFmtId="2" fontId="0" fillId="6" borderId="0" xfId="0" applyNumberFormat="1" applyFill="1"/>
    <xf numFmtId="2" fontId="0" fillId="6" borderId="34" xfId="0" applyNumberFormat="1" applyFill="1" applyBorder="1"/>
    <xf numFmtId="2" fontId="0" fillId="0" borderId="34" xfId="0" applyNumberFormat="1" applyBorder="1"/>
    <xf numFmtId="2" fontId="14" fillId="18" borderId="0" xfId="2" applyNumberFormat="1" applyFont="1" applyFill="1" applyBorder="1"/>
    <xf numFmtId="2" fontId="0" fillId="18" borderId="34" xfId="0" applyNumberFormat="1" applyFill="1" applyBorder="1"/>
    <xf numFmtId="0" fontId="0" fillId="0" borderId="45" xfId="0" applyBorder="1" applyAlignment="1">
      <alignment horizontal="center" vertical="center"/>
    </xf>
    <xf numFmtId="2" fontId="0" fillId="0" borderId="45" xfId="0" applyNumberFormat="1" applyBorder="1" applyAlignment="1">
      <alignment horizontal="center" vertical="center"/>
    </xf>
    <xf numFmtId="0" fontId="0" fillId="2" borderId="34" xfId="0" applyFill="1" applyBorder="1" applyAlignment="1">
      <alignment horizontal="center"/>
    </xf>
    <xf numFmtId="0" fontId="0" fillId="5" borderId="1" xfId="0" applyFill="1" applyBorder="1" applyAlignment="1">
      <alignment wrapText="1"/>
    </xf>
    <xf numFmtId="0" fontId="0" fillId="19" borderId="50" xfId="0" applyFill="1" applyBorder="1" applyAlignment="1">
      <alignment horizontal="center" wrapText="1"/>
    </xf>
    <xf numFmtId="0" fontId="0" fillId="2" borderId="53" xfId="0" applyFill="1" applyBorder="1" applyAlignment="1">
      <alignment horizontal="center" wrapText="1"/>
    </xf>
    <xf numFmtId="0" fontId="0" fillId="22" borderId="50" xfId="0" applyFill="1" applyBorder="1" applyAlignment="1">
      <alignment horizontal="center" wrapText="1"/>
    </xf>
    <xf numFmtId="0" fontId="0" fillId="21" borderId="53" xfId="0" applyFill="1" applyBorder="1" applyAlignment="1">
      <alignment horizontal="center" wrapText="1"/>
    </xf>
    <xf numFmtId="0" fontId="0" fillId="20" borderId="50" xfId="0" applyFill="1" applyBorder="1" applyAlignment="1">
      <alignment horizontal="center" wrapText="1"/>
    </xf>
    <xf numFmtId="0" fontId="0" fillId="20" borderId="53" xfId="0" applyFill="1" applyBorder="1" applyAlignment="1">
      <alignment horizontal="center" wrapText="1"/>
    </xf>
    <xf numFmtId="0" fontId="0" fillId="23" borderId="50" xfId="0" applyFill="1" applyBorder="1" applyAlignment="1">
      <alignment horizontal="center" wrapText="1"/>
    </xf>
    <xf numFmtId="0" fontId="0" fillId="23" borderId="1" xfId="0" applyFill="1" applyBorder="1" applyAlignment="1">
      <alignment horizontal="center" wrapText="1"/>
    </xf>
    <xf numFmtId="0" fontId="0" fillId="23" borderId="53" xfId="0" applyFill="1" applyBorder="1" applyAlignment="1">
      <alignment horizontal="center" wrapText="1"/>
    </xf>
    <xf numFmtId="0" fontId="0" fillId="13" borderId="50" xfId="0" applyFill="1" applyBorder="1" applyAlignment="1">
      <alignment horizontal="center" wrapText="1"/>
    </xf>
    <xf numFmtId="0" fontId="0" fillId="24" borderId="50" xfId="0" applyFill="1" applyBorder="1" applyAlignment="1">
      <alignment horizontal="center" wrapText="1"/>
    </xf>
    <xf numFmtId="0" fontId="0" fillId="24" borderId="1" xfId="0" applyFill="1" applyBorder="1" applyAlignment="1">
      <alignment horizontal="center" wrapText="1"/>
    </xf>
    <xf numFmtId="0" fontId="0" fillId="25" borderId="50" xfId="0" applyFill="1" applyBorder="1" applyAlignment="1">
      <alignment horizontal="center" wrapText="1"/>
    </xf>
    <xf numFmtId="0" fontId="0" fillId="25" borderId="1" xfId="0" applyFill="1" applyBorder="1" applyAlignment="1">
      <alignment horizontal="center" wrapText="1"/>
    </xf>
    <xf numFmtId="0" fontId="0" fillId="0" borderId="45" xfId="0" applyBorder="1" applyAlignment="1">
      <alignment wrapText="1"/>
    </xf>
    <xf numFmtId="0" fontId="0" fillId="0" borderId="34" xfId="0" applyBorder="1" applyAlignment="1">
      <alignment wrapText="1"/>
    </xf>
    <xf numFmtId="2" fontId="13" fillId="0" borderId="34" xfId="0" applyNumberFormat="1" applyFont="1" applyBorder="1"/>
    <xf numFmtId="2" fontId="13" fillId="0" borderId="45" xfId="0" applyNumberFormat="1" applyFont="1" applyBorder="1" applyAlignment="1">
      <alignment horizontal="center"/>
    </xf>
    <xf numFmtId="10" fontId="0" fillId="0" borderId="34" xfId="0" applyNumberFormat="1" applyBorder="1"/>
    <xf numFmtId="167" fontId="12" fillId="0" borderId="0" xfId="0" applyNumberFormat="1" applyFont="1" applyAlignment="1">
      <alignment horizontal="center" vertical="center"/>
    </xf>
    <xf numFmtId="2" fontId="12" fillId="0" borderId="45" xfId="0" applyNumberFormat="1" applyFont="1" applyBorder="1" applyAlignment="1">
      <alignment horizontal="center"/>
    </xf>
    <xf numFmtId="165" fontId="12" fillId="0" borderId="34" xfId="0" applyNumberFormat="1" applyFont="1" applyBorder="1" applyAlignment="1">
      <alignment horizontal="center"/>
    </xf>
    <xf numFmtId="164" fontId="12" fillId="0" borderId="34" xfId="0" applyNumberFormat="1" applyFont="1" applyBorder="1" applyAlignment="1">
      <alignment horizontal="center"/>
    </xf>
    <xf numFmtId="165" fontId="0" fillId="0" borderId="45" xfId="0" applyNumberFormat="1" applyBorder="1" applyAlignment="1">
      <alignment horizontal="center"/>
    </xf>
    <xf numFmtId="165" fontId="0" fillId="0" borderId="0" xfId="0" applyNumberFormat="1" applyAlignment="1">
      <alignment horizontal="center"/>
    </xf>
    <xf numFmtId="165" fontId="14" fillId="0" borderId="45" xfId="0" applyNumberFormat="1" applyFont="1" applyBorder="1" applyAlignment="1">
      <alignment horizontal="center"/>
    </xf>
    <xf numFmtId="167" fontId="12" fillId="0" borderId="0" xfId="0" applyNumberFormat="1" applyFont="1" applyAlignment="1">
      <alignment horizontal="center"/>
    </xf>
    <xf numFmtId="0" fontId="0" fillId="26" borderId="0" xfId="0" applyFill="1"/>
    <xf numFmtId="0" fontId="12" fillId="26" borderId="0" xfId="0" applyFont="1" applyFill="1" applyAlignment="1">
      <alignment horizontal="right"/>
    </xf>
    <xf numFmtId="167" fontId="12" fillId="26" borderId="0" xfId="0" applyNumberFormat="1" applyFont="1" applyFill="1" applyAlignment="1">
      <alignment horizontal="center"/>
    </xf>
    <xf numFmtId="0" fontId="12" fillId="26" borderId="0" xfId="0" applyFont="1" applyFill="1" applyAlignment="1">
      <alignment horizontal="center"/>
    </xf>
    <xf numFmtId="0" fontId="12" fillId="26" borderId="0" xfId="2" applyNumberFormat="1" applyFont="1" applyFill="1" applyAlignment="1">
      <alignment horizontal="center"/>
    </xf>
    <xf numFmtId="2" fontId="12" fillId="26" borderId="45" xfId="0" applyNumberFormat="1" applyFont="1" applyFill="1" applyBorder="1" applyAlignment="1">
      <alignment horizontal="center"/>
    </xf>
    <xf numFmtId="2" fontId="12" fillId="26" borderId="0" xfId="0" applyNumberFormat="1" applyFont="1" applyFill="1" applyAlignment="1">
      <alignment horizontal="center"/>
    </xf>
    <xf numFmtId="165" fontId="12" fillId="26" borderId="34" xfId="0" applyNumberFormat="1" applyFont="1" applyFill="1" applyBorder="1" applyAlignment="1">
      <alignment horizontal="center"/>
    </xf>
    <xf numFmtId="2" fontId="11" fillId="26" borderId="45" xfId="0" applyNumberFormat="1" applyFont="1" applyFill="1" applyBorder="1" applyAlignment="1">
      <alignment horizontal="center"/>
    </xf>
    <xf numFmtId="2" fontId="11" fillId="26" borderId="0" xfId="0" applyNumberFormat="1" applyFont="1" applyFill="1" applyAlignment="1">
      <alignment horizontal="center"/>
    </xf>
    <xf numFmtId="2" fontId="11" fillId="26" borderId="34" xfId="0" applyNumberFormat="1" applyFont="1" applyFill="1" applyBorder="1" applyAlignment="1">
      <alignment horizontal="center"/>
    </xf>
    <xf numFmtId="165" fontId="0" fillId="26" borderId="45" xfId="0" applyNumberFormat="1" applyFill="1" applyBorder="1" applyAlignment="1">
      <alignment horizontal="center"/>
    </xf>
    <xf numFmtId="2" fontId="0" fillId="26" borderId="0" xfId="0" applyNumberFormat="1" applyFill="1" applyAlignment="1">
      <alignment horizontal="center"/>
    </xf>
    <xf numFmtId="165" fontId="0" fillId="26" borderId="0" xfId="0" applyNumberFormat="1" applyFill="1" applyAlignment="1">
      <alignment horizontal="center"/>
    </xf>
    <xf numFmtId="2" fontId="0" fillId="26" borderId="34" xfId="0" applyNumberFormat="1" applyFill="1" applyBorder="1" applyAlignment="1">
      <alignment horizontal="center"/>
    </xf>
    <xf numFmtId="0" fontId="16" fillId="0" borderId="0" xfId="0" applyFont="1"/>
    <xf numFmtId="167" fontId="0" fillId="0" borderId="0" xfId="0" applyNumberFormat="1" applyAlignment="1">
      <alignment horizontal="center"/>
    </xf>
    <xf numFmtId="165" fontId="0" fillId="0" borderId="34" xfId="0" applyNumberFormat="1" applyBorder="1" applyAlignment="1">
      <alignment horizontal="center"/>
    </xf>
    <xf numFmtId="0" fontId="9" fillId="0" borderId="0" xfId="0" applyFont="1" applyAlignment="1">
      <alignment vertical="center"/>
    </xf>
    <xf numFmtId="167" fontId="9" fillId="0" borderId="0" xfId="0" applyNumberFormat="1" applyFont="1" applyAlignment="1">
      <alignment horizontal="center" vertical="center"/>
    </xf>
    <xf numFmtId="0" fontId="9" fillId="0" borderId="0" xfId="0" applyFont="1" applyAlignment="1">
      <alignment horizontal="center"/>
    </xf>
    <xf numFmtId="0" fontId="9" fillId="0" borderId="0" xfId="0" applyFont="1" applyAlignment="1">
      <alignment horizontal="center" wrapText="1"/>
    </xf>
    <xf numFmtId="0" fontId="9" fillId="0" borderId="0" xfId="2" applyNumberFormat="1" applyFont="1" applyFill="1" applyBorder="1" applyAlignment="1">
      <alignment horizontal="center" wrapText="1"/>
    </xf>
    <xf numFmtId="9" fontId="9" fillId="0" borderId="0" xfId="2" applyFont="1" applyFill="1" applyBorder="1" applyAlignment="1">
      <alignment horizontal="center" wrapText="1"/>
    </xf>
    <xf numFmtId="2" fontId="9" fillId="0" borderId="45" xfId="0" applyNumberFormat="1" applyFont="1" applyBorder="1" applyAlignment="1">
      <alignment horizontal="center"/>
    </xf>
    <xf numFmtId="2" fontId="9" fillId="0" borderId="0" xfId="0" applyNumberFormat="1" applyFont="1" applyAlignment="1">
      <alignment horizontal="center"/>
    </xf>
    <xf numFmtId="165" fontId="9" fillId="0" borderId="34" xfId="0" applyNumberFormat="1" applyFont="1" applyBorder="1" applyAlignment="1">
      <alignment horizontal="center"/>
    </xf>
    <xf numFmtId="164" fontId="9" fillId="0" borderId="34" xfId="0" applyNumberFormat="1" applyFont="1" applyBorder="1" applyAlignment="1">
      <alignment horizontal="center"/>
    </xf>
    <xf numFmtId="165" fontId="9" fillId="0" borderId="45" xfId="0" applyNumberFormat="1" applyFont="1" applyBorder="1" applyAlignment="1">
      <alignment horizontal="center"/>
    </xf>
    <xf numFmtId="165" fontId="9" fillId="0" borderId="0" xfId="0" applyNumberFormat="1" applyFont="1" applyAlignment="1">
      <alignment horizontal="center"/>
    </xf>
    <xf numFmtId="2" fontId="9" fillId="0" borderId="34" xfId="0" applyNumberFormat="1" applyFont="1" applyBorder="1" applyAlignment="1">
      <alignment horizontal="center"/>
    </xf>
    <xf numFmtId="0" fontId="9" fillId="26" borderId="0" xfId="0" applyFont="1" applyFill="1"/>
    <xf numFmtId="167" fontId="9" fillId="26" borderId="0" xfId="0" applyNumberFormat="1" applyFont="1" applyFill="1" applyAlignment="1">
      <alignment horizontal="center"/>
    </xf>
    <xf numFmtId="0" fontId="9" fillId="26" borderId="0" xfId="0" applyFont="1" applyFill="1" applyAlignment="1">
      <alignment horizontal="center"/>
    </xf>
    <xf numFmtId="0" fontId="12" fillId="26" borderId="0" xfId="2" quotePrefix="1" applyNumberFormat="1" applyFont="1" applyFill="1" applyBorder="1" applyAlignment="1">
      <alignment horizontal="center"/>
    </xf>
    <xf numFmtId="0" fontId="12" fillId="26" borderId="0" xfId="0" applyFont="1" applyFill="1" applyAlignment="1">
      <alignment horizontal="center" wrapText="1"/>
    </xf>
    <xf numFmtId="2" fontId="12" fillId="26" borderId="34" xfId="0" applyNumberFormat="1" applyFont="1" applyFill="1" applyBorder="1" applyAlignment="1">
      <alignment horizontal="center"/>
    </xf>
    <xf numFmtId="2" fontId="0" fillId="26" borderId="45" xfId="0" applyNumberFormat="1" applyFill="1" applyBorder="1" applyAlignment="1">
      <alignment horizontal="center"/>
    </xf>
    <xf numFmtId="2" fontId="0" fillId="0" borderId="45" xfId="0" applyNumberFormat="1" applyBorder="1" applyAlignment="1">
      <alignment horizontal="center" wrapText="1"/>
    </xf>
    <xf numFmtId="2" fontId="0" fillId="0" borderId="0" xfId="0" applyNumberFormat="1" applyAlignment="1">
      <alignment horizontal="center" wrapText="1"/>
    </xf>
    <xf numFmtId="165" fontId="0" fillId="0" borderId="34" xfId="0" applyNumberFormat="1" applyBorder="1" applyAlignment="1">
      <alignment horizontal="center" wrapText="1"/>
    </xf>
    <xf numFmtId="0" fontId="12" fillId="0" borderId="34" xfId="0" applyFont="1" applyBorder="1" applyAlignment="1">
      <alignment horizontal="center"/>
    </xf>
    <xf numFmtId="2" fontId="9" fillId="0" borderId="0" xfId="0" quotePrefix="1" applyNumberFormat="1" applyFont="1" applyAlignment="1">
      <alignment horizontal="center"/>
    </xf>
    <xf numFmtId="2" fontId="9" fillId="0" borderId="34" xfId="0" quotePrefix="1" applyNumberFormat="1" applyFont="1" applyBorder="1" applyAlignment="1">
      <alignment horizontal="center"/>
    </xf>
    <xf numFmtId="167" fontId="0" fillId="26" borderId="0" xfId="0" applyNumberFormat="1" applyFill="1" applyAlignment="1">
      <alignment horizontal="center"/>
    </xf>
    <xf numFmtId="0" fontId="0" fillId="26" borderId="0" xfId="0" applyFill="1" applyAlignment="1">
      <alignment horizontal="center"/>
    </xf>
    <xf numFmtId="0" fontId="12" fillId="26" borderId="0" xfId="2" applyNumberFormat="1" applyFont="1" applyFill="1" applyBorder="1" applyAlignment="1">
      <alignment horizontal="center" wrapText="1"/>
    </xf>
    <xf numFmtId="0" fontId="19" fillId="26" borderId="34" xfId="0" applyFont="1" applyFill="1" applyBorder="1" applyAlignment="1">
      <alignment horizontal="center"/>
    </xf>
    <xf numFmtId="0" fontId="19" fillId="0" borderId="0" xfId="0" applyFont="1" applyAlignment="1">
      <alignment horizontal="center"/>
    </xf>
    <xf numFmtId="0" fontId="12" fillId="0" borderId="45" xfId="0" applyFont="1" applyBorder="1"/>
    <xf numFmtId="9" fontId="0" fillId="0" borderId="45" xfId="0" applyNumberFormat="1" applyBorder="1" applyAlignment="1">
      <alignment horizontal="center"/>
    </xf>
    <xf numFmtId="4" fontId="11" fillId="0" borderId="34" xfId="0" applyNumberFormat="1" applyFont="1" applyBorder="1" applyAlignment="1">
      <alignment horizontal="center"/>
    </xf>
    <xf numFmtId="4" fontId="11" fillId="26" borderId="34" xfId="0" applyNumberFormat="1" applyFont="1" applyFill="1" applyBorder="1" applyAlignment="1">
      <alignment horizontal="center"/>
    </xf>
    <xf numFmtId="4" fontId="0" fillId="0" borderId="34" xfId="0" applyNumberFormat="1" applyBorder="1" applyAlignment="1">
      <alignment horizontal="center"/>
    </xf>
    <xf numFmtId="4" fontId="12" fillId="0" borderId="0" xfId="0" applyNumberFormat="1" applyFont="1" applyAlignment="1">
      <alignment horizontal="center"/>
    </xf>
    <xf numFmtId="4" fontId="11" fillId="0" borderId="0" xfId="0" applyNumberFormat="1" applyFont="1" applyAlignment="1">
      <alignment horizontal="center"/>
    </xf>
    <xf numFmtId="4" fontId="11" fillId="26" borderId="0" xfId="0" applyNumberFormat="1" applyFont="1" applyFill="1" applyAlignment="1">
      <alignment horizontal="center"/>
    </xf>
    <xf numFmtId="4" fontId="0" fillId="0" borderId="0" xfId="0" applyNumberFormat="1" applyAlignment="1">
      <alignment horizontal="center"/>
    </xf>
    <xf numFmtId="4" fontId="9" fillId="0" borderId="0" xfId="0" applyNumberFormat="1" applyFont="1" applyAlignment="1">
      <alignment horizontal="center"/>
    </xf>
    <xf numFmtId="4" fontId="12" fillId="26" borderId="0" xfId="0" applyNumberFormat="1" applyFont="1" applyFill="1" applyAlignment="1">
      <alignment horizontal="center"/>
    </xf>
    <xf numFmtId="0" fontId="0" fillId="5" borderId="0" xfId="0" applyFill="1"/>
    <xf numFmtId="0" fontId="0" fillId="5" borderId="1" xfId="0" applyFill="1" applyBorder="1"/>
    <xf numFmtId="0" fontId="0" fillId="7" borderId="50" xfId="0" applyFill="1" applyBorder="1" applyAlignment="1">
      <alignment horizontal="center" wrapText="1"/>
    </xf>
    <xf numFmtId="0" fontId="0" fillId="7" borderId="53" xfId="0" applyFill="1" applyBorder="1" applyAlignment="1">
      <alignment horizont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0" xfId="2" applyNumberFormat="1" applyFont="1" applyFill="1" applyBorder="1" applyAlignment="1">
      <alignment horizontal="center" vertical="center" wrapText="1"/>
    </xf>
    <xf numFmtId="2" fontId="12" fillId="0" borderId="45" xfId="0" applyNumberFormat="1" applyFont="1" applyBorder="1" applyAlignment="1">
      <alignment horizontal="center" vertical="center"/>
    </xf>
    <xf numFmtId="2" fontId="12" fillId="0" borderId="0" xfId="0" applyNumberFormat="1" applyFont="1" applyAlignment="1">
      <alignment horizontal="center" vertical="center"/>
    </xf>
    <xf numFmtId="165" fontId="12" fillId="0" borderId="34" xfId="0" applyNumberFormat="1" applyFont="1" applyBorder="1" applyAlignment="1">
      <alignment horizontal="center" vertical="center"/>
    </xf>
    <xf numFmtId="2" fontId="11" fillId="0" borderId="45" xfId="0" applyNumberFormat="1" applyFont="1" applyBorder="1" applyAlignment="1">
      <alignment horizontal="center" vertical="center"/>
    </xf>
    <xf numFmtId="4" fontId="11" fillId="0" borderId="34" xfId="0" applyNumberFormat="1" applyFont="1" applyBorder="1" applyAlignment="1">
      <alignment horizontal="center" vertical="center"/>
    </xf>
    <xf numFmtId="4" fontId="12" fillId="0" borderId="0" xfId="0" applyNumberFormat="1" applyFont="1" applyAlignment="1">
      <alignment horizontal="center" vertical="center"/>
    </xf>
    <xf numFmtId="164" fontId="12" fillId="0" borderId="34" xfId="0" applyNumberFormat="1" applyFont="1" applyBorder="1" applyAlignment="1">
      <alignment horizontal="center" vertical="center"/>
    </xf>
    <xf numFmtId="165" fontId="0" fillId="0" borderId="45" xfId="0" applyNumberFormat="1" applyBorder="1" applyAlignment="1">
      <alignment horizontal="center" vertical="center"/>
    </xf>
    <xf numFmtId="165" fontId="0" fillId="0" borderId="0" xfId="0" applyNumberFormat="1" applyAlignment="1">
      <alignment horizontal="center" vertical="center"/>
    </xf>
    <xf numFmtId="165" fontId="18" fillId="0" borderId="45" xfId="0" applyNumberFormat="1" applyFont="1" applyBorder="1" applyAlignment="1">
      <alignment horizontal="center" vertical="center"/>
    </xf>
    <xf numFmtId="2" fontId="18" fillId="0" borderId="0" xfId="0" applyNumberFormat="1" applyFont="1" applyAlignment="1">
      <alignment horizontal="center" vertical="center"/>
    </xf>
    <xf numFmtId="165" fontId="18" fillId="0" borderId="0" xfId="0" applyNumberFormat="1" applyFont="1" applyAlignment="1">
      <alignment horizontal="center" vertical="center"/>
    </xf>
    <xf numFmtId="2" fontId="11" fillId="0" borderId="34" xfId="0" applyNumberFormat="1" applyFont="1" applyBorder="1" applyAlignment="1">
      <alignment horizontal="center" vertical="center"/>
    </xf>
    <xf numFmtId="166" fontId="8" fillId="0" borderId="0" xfId="0" applyNumberFormat="1" applyFont="1" applyAlignment="1">
      <alignment horizontal="center"/>
    </xf>
    <xf numFmtId="166" fontId="0" fillId="0" borderId="0" xfId="0" applyNumberFormat="1" applyAlignment="1">
      <alignment horizontal="center"/>
    </xf>
    <xf numFmtId="1" fontId="0" fillId="0" borderId="0" xfId="0" applyNumberFormat="1" applyAlignment="1">
      <alignment horizontal="center"/>
    </xf>
    <xf numFmtId="0" fontId="0" fillId="0" borderId="0" xfId="0" applyAlignment="1">
      <alignment horizontal="center" vertical="center"/>
    </xf>
    <xf numFmtId="0" fontId="0" fillId="0" borderId="5" xfId="0" applyBorder="1"/>
    <xf numFmtId="4" fontId="8" fillId="0" borderId="5" xfId="0" applyNumberFormat="1" applyFont="1" applyBorder="1" applyAlignment="1">
      <alignment horizontal="center"/>
    </xf>
    <xf numFmtId="0" fontId="20" fillId="0" borderId="0" xfId="0" applyFont="1"/>
    <xf numFmtId="49" fontId="8" fillId="0" borderId="0" xfId="0" applyNumberFormat="1" applyFont="1"/>
    <xf numFmtId="0" fontId="8" fillId="0" borderId="5" xfId="0" applyFont="1" applyBorder="1" applyAlignment="1">
      <alignment wrapText="1"/>
    </xf>
    <xf numFmtId="0" fontId="8" fillId="6" borderId="5" xfId="0" applyFont="1" applyFill="1" applyBorder="1" applyAlignment="1">
      <alignment horizontal="center"/>
    </xf>
    <xf numFmtId="3" fontId="8" fillId="0" borderId="5" xfId="0" applyNumberFormat="1" applyFont="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xf>
    <xf numFmtId="3" fontId="8" fillId="0" borderId="0" xfId="0" applyNumberFormat="1" applyFont="1" applyAlignment="1">
      <alignment horizontal="center"/>
    </xf>
    <xf numFmtId="2" fontId="8" fillId="0" borderId="5" xfId="0" applyNumberFormat="1" applyFont="1" applyBorder="1" applyAlignment="1">
      <alignment horizontal="center"/>
    </xf>
    <xf numFmtId="9" fontId="8" fillId="0" borderId="5" xfId="0" applyNumberFormat="1" applyFont="1" applyBorder="1" applyAlignment="1">
      <alignment horizontal="center"/>
    </xf>
    <xf numFmtId="10" fontId="8" fillId="0" borderId="5" xfId="0" applyNumberFormat="1" applyFont="1" applyBorder="1" applyAlignment="1">
      <alignment horizontal="center"/>
    </xf>
    <xf numFmtId="164" fontId="8" fillId="0" borderId="5" xfId="0" applyNumberFormat="1" applyFont="1" applyBorder="1" applyAlignment="1">
      <alignment horizontal="center"/>
    </xf>
    <xf numFmtId="0" fontId="8" fillId="0" borderId="45" xfId="0" applyFont="1" applyBorder="1" applyAlignment="1">
      <alignment horizontal="center" wrapText="1"/>
    </xf>
    <xf numFmtId="0" fontId="8" fillId="0" borderId="0" xfId="0" applyFont="1" applyAlignment="1">
      <alignment horizontal="center" wrapText="1"/>
    </xf>
    <xf numFmtId="49" fontId="20" fillId="0" borderId="0" xfId="0" applyNumberFormat="1" applyFont="1" applyAlignment="1">
      <alignment horizontal="left"/>
    </xf>
    <xf numFmtId="49" fontId="0" fillId="0" borderId="0" xfId="0" applyNumberFormat="1" applyAlignment="1">
      <alignment horizontal="left"/>
    </xf>
    <xf numFmtId="49" fontId="8" fillId="0" borderId="0" xfId="0" applyNumberFormat="1" applyFont="1" applyAlignment="1">
      <alignment horizontal="left"/>
    </xf>
    <xf numFmtId="3" fontId="0" fillId="0" borderId="0" xfId="0" applyNumberFormat="1" applyAlignment="1">
      <alignment horizontal="center"/>
    </xf>
    <xf numFmtId="3" fontId="11" fillId="0" borderId="5" xfId="0" applyNumberFormat="1" applyFont="1" applyBorder="1" applyAlignment="1">
      <alignment horizontal="center"/>
    </xf>
    <xf numFmtId="168" fontId="0" fillId="0" borderId="5" xfId="0" applyNumberFormat="1" applyBorder="1" applyAlignment="1">
      <alignment horizontal="center"/>
    </xf>
    <xf numFmtId="0" fontId="0" fillId="0" borderId="25" xfId="0" applyBorder="1" applyAlignment="1">
      <alignment horizontal="center" vertical="center"/>
    </xf>
    <xf numFmtId="0" fontId="0" fillId="0" borderId="51" xfId="0" applyBorder="1" applyAlignment="1">
      <alignment horizontal="right"/>
    </xf>
    <xf numFmtId="0" fontId="0" fillId="0" borderId="48" xfId="0" applyBorder="1"/>
    <xf numFmtId="0" fontId="0" fillId="0" borderId="6" xfId="0" applyBorder="1" applyAlignment="1">
      <alignment horizontal="right"/>
    </xf>
    <xf numFmtId="0" fontId="0" fillId="0" borderId="52" xfId="0" applyBorder="1"/>
    <xf numFmtId="0" fontId="0" fillId="0" borderId="5" xfId="0" applyBorder="1" applyAlignment="1">
      <alignment horizontal="right"/>
    </xf>
    <xf numFmtId="0" fontId="0" fillId="0" borderId="22" xfId="0" applyBorder="1"/>
    <xf numFmtId="0" fontId="0" fillId="0" borderId="42" xfId="0" applyBorder="1"/>
    <xf numFmtId="49" fontId="21" fillId="0" borderId="0" xfId="0" applyNumberFormat="1" applyFont="1" applyAlignment="1">
      <alignment horizontal="left"/>
    </xf>
    <xf numFmtId="1" fontId="0" fillId="0" borderId="0" xfId="0" applyNumberFormat="1"/>
    <xf numFmtId="49" fontId="21" fillId="0" borderId="11" xfId="0" applyNumberFormat="1" applyFont="1" applyBorder="1" applyAlignment="1">
      <alignment horizontal="left"/>
    </xf>
    <xf numFmtId="49" fontId="21" fillId="0" borderId="45" xfId="0" applyNumberFormat="1" applyFont="1" applyBorder="1" applyAlignment="1">
      <alignment horizontal="left"/>
    </xf>
    <xf numFmtId="49" fontId="21" fillId="0" borderId="45" xfId="0" applyNumberFormat="1" applyFont="1" applyBorder="1" applyAlignment="1">
      <alignment horizontal="right"/>
    </xf>
    <xf numFmtId="49" fontId="21" fillId="0" borderId="45" xfId="0" applyNumberFormat="1" applyFont="1" applyBorder="1" applyAlignment="1">
      <alignment horizontal="right" wrapText="1"/>
    </xf>
    <xf numFmtId="3" fontId="0" fillId="0" borderId="6" xfId="0" applyNumberFormat="1" applyBorder="1" applyAlignment="1">
      <alignment horizontal="center" vertical="center"/>
    </xf>
    <xf numFmtId="3" fontId="0" fillId="0" borderId="20" xfId="0" applyNumberFormat="1" applyBorder="1" applyAlignment="1">
      <alignment horizontal="center" vertical="center"/>
    </xf>
    <xf numFmtId="49" fontId="20" fillId="0" borderId="11" xfId="0" applyNumberFormat="1" applyFont="1" applyBorder="1" applyAlignment="1">
      <alignment horizontal="left"/>
    </xf>
    <xf numFmtId="1" fontId="0" fillId="0" borderId="6" xfId="0" applyNumberFormat="1" applyBorder="1" applyAlignment="1">
      <alignment horizontal="center" vertical="center"/>
    </xf>
    <xf numFmtId="0" fontId="8" fillId="0" borderId="5" xfId="0" applyFont="1" applyBorder="1" applyAlignment="1">
      <alignment horizontal="right"/>
    </xf>
    <xf numFmtId="49" fontId="20" fillId="6" borderId="50" xfId="0" applyNumberFormat="1" applyFont="1" applyFill="1" applyBorder="1" applyAlignment="1">
      <alignment horizontal="left"/>
    </xf>
    <xf numFmtId="0" fontId="0" fillId="6" borderId="34" xfId="0" applyFill="1" applyBorder="1" applyAlignment="1">
      <alignment horizontal="center"/>
    </xf>
    <xf numFmtId="3" fontId="8" fillId="0" borderId="10" xfId="0" applyNumberFormat="1" applyFont="1" applyBorder="1" applyAlignment="1">
      <alignment horizontal="center" vertical="center"/>
    </xf>
    <xf numFmtId="3" fontId="8" fillId="0" borderId="34" xfId="0" applyNumberFormat="1" applyFont="1" applyBorder="1" applyAlignment="1">
      <alignment horizontal="center"/>
    </xf>
    <xf numFmtId="3" fontId="8" fillId="0" borderId="53" xfId="0" applyNumberFormat="1" applyFont="1" applyBorder="1" applyAlignment="1">
      <alignment horizontal="center" vertical="center"/>
    </xf>
    <xf numFmtId="49" fontId="20" fillId="0" borderId="6" xfId="0" applyNumberFormat="1" applyFont="1" applyBorder="1" applyAlignment="1">
      <alignment horizontal="left"/>
    </xf>
    <xf numFmtId="49" fontId="20" fillId="0" borderId="20" xfId="0" applyNumberFormat="1" applyFont="1" applyBorder="1" applyAlignment="1">
      <alignment horizontal="right"/>
    </xf>
    <xf numFmtId="49" fontId="20" fillId="0" borderId="31" xfId="0" applyNumberFormat="1" applyFont="1" applyBorder="1" applyAlignment="1">
      <alignment horizontal="right"/>
    </xf>
    <xf numFmtId="167" fontId="0" fillId="0" borderId="0" xfId="0" applyNumberFormat="1"/>
    <xf numFmtId="4" fontId="0" fillId="0" borderId="0" xfId="0" applyNumberFormat="1"/>
    <xf numFmtId="2" fontId="0" fillId="8" borderId="45" xfId="0" applyNumberFormat="1" applyFill="1" applyBorder="1" applyAlignment="1">
      <alignment horizontal="center" vertical="center"/>
    </xf>
    <xf numFmtId="4" fontId="8" fillId="6" borderId="5" xfId="0" applyNumberFormat="1" applyFont="1" applyFill="1" applyBorder="1" applyAlignment="1">
      <alignment horizontal="center"/>
    </xf>
    <xf numFmtId="2" fontId="14" fillId="0" borderId="45" xfId="0" applyNumberFormat="1" applyFont="1" applyBorder="1" applyAlignment="1">
      <alignment horizontal="center" vertical="center"/>
    </xf>
    <xf numFmtId="2" fontId="9" fillId="6" borderId="45" xfId="0" applyNumberFormat="1" applyFont="1" applyFill="1" applyBorder="1"/>
    <xf numFmtId="2" fontId="9" fillId="0" borderId="45" xfId="0" applyNumberFormat="1" applyFont="1" applyBorder="1"/>
    <xf numFmtId="2" fontId="9" fillId="8" borderId="45" xfId="0" applyNumberFormat="1" applyFont="1" applyFill="1" applyBorder="1"/>
    <xf numFmtId="2" fontId="0" fillId="6" borderId="45" xfId="0" applyNumberFormat="1" applyFill="1" applyBorder="1" applyAlignment="1">
      <alignment horizontal="center"/>
    </xf>
    <xf numFmtId="2" fontId="14" fillId="18" borderId="45" xfId="0" applyNumberFormat="1" applyFont="1" applyFill="1" applyBorder="1"/>
    <xf numFmtId="2" fontId="14" fillId="0" borderId="45" xfId="0" applyNumberFormat="1" applyFont="1" applyBorder="1"/>
    <xf numFmtId="2" fontId="11" fillId="6" borderId="45" xfId="0" applyNumberFormat="1" applyFont="1" applyFill="1" applyBorder="1" applyAlignment="1">
      <alignment horizontal="center" vertical="center"/>
    </xf>
    <xf numFmtId="2" fontId="11" fillId="8" borderId="45" xfId="0" applyNumberFormat="1" applyFont="1" applyFill="1" applyBorder="1" applyAlignment="1">
      <alignment horizontal="center" vertical="center"/>
    </xf>
    <xf numFmtId="2" fontId="14" fillId="6" borderId="0" xfId="0" applyNumberFormat="1" applyFont="1" applyFill="1" applyAlignment="1">
      <alignment horizontal="center" vertical="center"/>
    </xf>
    <xf numFmtId="2" fontId="14" fillId="18" borderId="0" xfId="0" applyNumberFormat="1" applyFont="1" applyFill="1" applyAlignment="1">
      <alignment horizontal="center"/>
    </xf>
    <xf numFmtId="0" fontId="14" fillId="0" borderId="0" xfId="0" applyFont="1"/>
    <xf numFmtId="2" fontId="0" fillId="8" borderId="0" xfId="0" applyNumberFormat="1" applyFill="1"/>
    <xf numFmtId="0" fontId="0" fillId="18" borderId="45" xfId="0" applyFill="1" applyBorder="1" applyAlignment="1">
      <alignment horizontal="center"/>
    </xf>
    <xf numFmtId="2" fontId="0" fillId="18" borderId="45" xfId="0" applyNumberFormat="1" applyFill="1" applyBorder="1" applyAlignment="1">
      <alignment horizontal="center"/>
    </xf>
    <xf numFmtId="2" fontId="0" fillId="18" borderId="0" xfId="0" applyNumberFormat="1" applyFill="1" applyAlignment="1">
      <alignment vertical="center"/>
    </xf>
    <xf numFmtId="0" fontId="14" fillId="0" borderId="45" xfId="0" applyFont="1" applyBorder="1"/>
    <xf numFmtId="2" fontId="14" fillId="8" borderId="45" xfId="0" applyNumberFormat="1" applyFont="1" applyFill="1" applyBorder="1"/>
    <xf numFmtId="166" fontId="0" fillId="8" borderId="0" xfId="0" applyNumberFormat="1" applyFill="1" applyAlignment="1">
      <alignment vertical="center"/>
    </xf>
    <xf numFmtId="166" fontId="0" fillId="8" borderId="45" xfId="0" applyNumberFormat="1" applyFill="1" applyBorder="1" applyAlignment="1">
      <alignment horizontal="center" vertical="center"/>
    </xf>
    <xf numFmtId="2" fontId="14" fillId="8" borderId="34" xfId="0" applyNumberFormat="1" applyFont="1" applyFill="1" applyBorder="1"/>
    <xf numFmtId="0" fontId="14" fillId="0" borderId="34" xfId="0" applyFont="1" applyBorder="1"/>
    <xf numFmtId="2" fontId="0" fillId="6" borderId="0" xfId="0" applyNumberFormat="1" applyFill="1" applyAlignment="1">
      <alignment horizontal="center"/>
    </xf>
    <xf numFmtId="0" fontId="0" fillId="0" borderId="5" xfId="0" applyBorder="1" applyAlignment="1">
      <alignment vertical="center" wrapText="1"/>
    </xf>
    <xf numFmtId="0" fontId="8" fillId="0" borderId="13" xfId="0" applyFont="1" applyBorder="1" applyAlignment="1">
      <alignment vertical="center" wrapText="1"/>
    </xf>
    <xf numFmtId="0" fontId="22" fillId="27" borderId="5" xfId="0" applyFont="1" applyFill="1" applyBorder="1" applyAlignment="1">
      <alignment horizontal="center" vertical="center"/>
    </xf>
    <xf numFmtId="0" fontId="22" fillId="27" borderId="5" xfId="0" applyFont="1" applyFill="1" applyBorder="1" applyAlignment="1">
      <alignment horizontal="center" vertical="center" wrapText="1"/>
    </xf>
    <xf numFmtId="0" fontId="22" fillId="28" borderId="5" xfId="0" applyFont="1" applyFill="1" applyBorder="1" applyAlignment="1">
      <alignment vertical="center"/>
    </xf>
    <xf numFmtId="2" fontId="0" fillId="0" borderId="5" xfId="0" applyNumberFormat="1" applyBorder="1" applyAlignment="1">
      <alignment horizontal="center" vertical="center"/>
    </xf>
    <xf numFmtId="7" fontId="7" fillId="0" borderId="5" xfId="1" applyNumberFormat="1" applyFont="1" applyBorder="1" applyAlignment="1">
      <alignment horizontal="center" vertical="center"/>
    </xf>
    <xf numFmtId="0" fontId="8" fillId="0" borderId="5" xfId="0" applyFont="1" applyBorder="1" applyAlignment="1">
      <alignment vertical="center"/>
    </xf>
    <xf numFmtId="2" fontId="8" fillId="0" borderId="5" xfId="0" applyNumberFormat="1" applyFont="1" applyBorder="1" applyAlignment="1">
      <alignment horizontal="center" vertical="center"/>
    </xf>
    <xf numFmtId="4" fontId="8" fillId="0" borderId="5" xfId="0" applyNumberFormat="1" applyFont="1" applyBorder="1" applyAlignment="1">
      <alignment horizontal="center" vertical="center"/>
    </xf>
    <xf numFmtId="7" fontId="8" fillId="0" borderId="5" xfId="1" applyNumberFormat="1" applyFont="1" applyBorder="1" applyAlignment="1">
      <alignment horizontal="center" vertical="center"/>
    </xf>
    <xf numFmtId="2" fontId="0" fillId="0" borderId="5" xfId="0" applyNumberFormat="1" applyBorder="1" applyAlignment="1">
      <alignment vertical="center"/>
    </xf>
    <xf numFmtId="0" fontId="18" fillId="0" borderId="0" xfId="0" applyFont="1"/>
    <xf numFmtId="0" fontId="23" fillId="0" borderId="0" xfId="0" applyFont="1"/>
    <xf numFmtId="0" fontId="0" fillId="0" borderId="13" xfId="0" applyBorder="1" applyAlignment="1">
      <alignment horizontal="left"/>
    </xf>
    <xf numFmtId="0" fontId="0" fillId="0" borderId="13" xfId="0" applyBorder="1" applyAlignment="1">
      <alignment horizontal="left" wrapText="1"/>
    </xf>
    <xf numFmtId="0" fontId="0" fillId="0" borderId="31" xfId="0" applyBorder="1" applyAlignment="1">
      <alignment horizontal="left"/>
    </xf>
    <xf numFmtId="164" fontId="0" fillId="0" borderId="31" xfId="0" applyNumberFormat="1" applyBorder="1" applyAlignment="1">
      <alignment horizontal="left"/>
    </xf>
    <xf numFmtId="9" fontId="0" fillId="0" borderId="31" xfId="0" applyNumberFormat="1" applyBorder="1" applyAlignment="1">
      <alignment horizontal="left"/>
    </xf>
    <xf numFmtId="0" fontId="0" fillId="0" borderId="5" xfId="0" applyBorder="1" applyAlignment="1">
      <alignment horizontal="left"/>
    </xf>
    <xf numFmtId="0" fontId="8" fillId="0" borderId="5" xfId="0" applyFont="1" applyBorder="1" applyAlignment="1">
      <alignment horizontal="left"/>
    </xf>
    <xf numFmtId="2" fontId="8" fillId="0" borderId="5" xfId="0" applyNumberFormat="1" applyFont="1" applyBorder="1" applyAlignment="1">
      <alignment horizontal="left"/>
    </xf>
    <xf numFmtId="0" fontId="12" fillId="26" borderId="0" xfId="0" applyFont="1" applyFill="1" applyAlignment="1">
      <alignment vertical="center"/>
    </xf>
    <xf numFmtId="2" fontId="14" fillId="26" borderId="0" xfId="0" applyNumberFormat="1" applyFont="1" applyFill="1" applyAlignment="1">
      <alignment horizontal="center" vertical="center"/>
    </xf>
    <xf numFmtId="0" fontId="22" fillId="0" borderId="26" xfId="0" applyFont="1" applyBorder="1" applyAlignment="1">
      <alignment horizontal="center" vertical="center"/>
    </xf>
    <xf numFmtId="4" fontId="22" fillId="0" borderId="26" xfId="0" applyNumberFormat="1" applyFont="1" applyBorder="1" applyAlignment="1">
      <alignment horizontal="center" vertical="center"/>
    </xf>
    <xf numFmtId="0" fontId="22" fillId="0" borderId="0" xfId="0" applyFont="1" applyAlignment="1">
      <alignment horizontal="center" vertical="center"/>
    </xf>
    <xf numFmtId="4" fontId="22" fillId="0" borderId="0" xfId="0" applyNumberFormat="1" applyFont="1" applyAlignment="1">
      <alignment horizontal="center" vertical="center"/>
    </xf>
    <xf numFmtId="9" fontId="14" fillId="0" borderId="45" xfId="0" applyNumberFormat="1" applyFont="1" applyBorder="1" applyAlignment="1">
      <alignment horizontal="center" vertical="center"/>
    </xf>
    <xf numFmtId="9" fontId="14" fillId="0" borderId="0" xfId="0" applyNumberFormat="1" applyFont="1" applyAlignment="1">
      <alignment horizontal="center" vertical="center"/>
    </xf>
    <xf numFmtId="9" fontId="11" fillId="0" borderId="45" xfId="0" applyNumberFormat="1" applyFont="1" applyBorder="1" applyAlignment="1">
      <alignment horizontal="center" vertical="center"/>
    </xf>
    <xf numFmtId="165" fontId="14" fillId="0" borderId="0" xfId="0" applyNumberFormat="1" applyFont="1" applyAlignment="1">
      <alignment horizontal="center" vertical="center"/>
    </xf>
    <xf numFmtId="165" fontId="14" fillId="26" borderId="0" xfId="0" applyNumberFormat="1" applyFont="1" applyFill="1" applyAlignment="1">
      <alignment horizontal="center" vertical="center"/>
    </xf>
    <xf numFmtId="2" fontId="0" fillId="26" borderId="45" xfId="0" applyNumberFormat="1" applyFill="1" applyBorder="1" applyAlignment="1">
      <alignment horizontal="center" vertical="center"/>
    </xf>
    <xf numFmtId="9" fontId="11" fillId="0" borderId="0" xfId="0" applyNumberFormat="1" applyFont="1" applyAlignment="1">
      <alignment horizontal="center" vertical="center"/>
    </xf>
    <xf numFmtId="9" fontId="0" fillId="0" borderId="45" xfId="0" applyNumberFormat="1" applyBorder="1" applyAlignment="1">
      <alignment horizontal="center" vertical="center"/>
    </xf>
    <xf numFmtId="165" fontId="14" fillId="0" borderId="45" xfId="0" applyNumberFormat="1" applyFont="1" applyBorder="1" applyAlignment="1">
      <alignment horizontal="center" vertical="center"/>
    </xf>
    <xf numFmtId="165" fontId="23" fillId="0" borderId="0" xfId="0" applyNumberFormat="1" applyFont="1" applyAlignment="1">
      <alignment horizontal="center" vertical="center"/>
    </xf>
    <xf numFmtId="165" fontId="14" fillId="26" borderId="45" xfId="0" applyNumberFormat="1" applyFont="1" applyFill="1" applyBorder="1" applyAlignment="1">
      <alignment horizontal="center" vertical="center"/>
    </xf>
    <xf numFmtId="2" fontId="14" fillId="0" borderId="34" xfId="0" applyNumberFormat="1" applyFont="1" applyBorder="1" applyAlignment="1">
      <alignment horizontal="center" vertical="center"/>
    </xf>
    <xf numFmtId="0" fontId="14" fillId="0" borderId="0" xfId="0" applyFont="1" applyAlignment="1">
      <alignment horizontal="center" vertical="center"/>
    </xf>
    <xf numFmtId="2" fontId="0" fillId="0" borderId="20" xfId="0" applyNumberFormat="1" applyBorder="1" applyAlignment="1">
      <alignment horizontal="center" vertical="center"/>
    </xf>
    <xf numFmtId="2" fontId="0" fillId="26" borderId="20" xfId="0" applyNumberFormat="1" applyFill="1" applyBorder="1" applyAlignment="1">
      <alignment horizontal="center" vertical="center"/>
    </xf>
    <xf numFmtId="165" fontId="11" fillId="0" borderId="0" xfId="0" applyNumberFormat="1" applyFont="1" applyAlignment="1">
      <alignment horizontal="center" vertical="center"/>
    </xf>
    <xf numFmtId="0" fontId="0" fillId="18" borderId="56" xfId="0" applyFill="1" applyBorder="1" applyAlignment="1">
      <alignment horizontal="right"/>
    </xf>
    <xf numFmtId="0" fontId="0" fillId="18" borderId="57" xfId="0" applyFill="1" applyBorder="1"/>
    <xf numFmtId="0" fontId="0" fillId="0" borderId="25" xfId="0" applyBorder="1"/>
    <xf numFmtId="0" fontId="0" fillId="0" borderId="20" xfId="0" applyBorder="1" applyAlignment="1">
      <alignment horizontal="right"/>
    </xf>
    <xf numFmtId="0" fontId="0" fillId="0" borderId="46" xfId="0" applyBorder="1"/>
    <xf numFmtId="2" fontId="0" fillId="8" borderId="34" xfId="0" applyNumberFormat="1" applyFill="1" applyBorder="1"/>
    <xf numFmtId="0" fontId="0" fillId="8" borderId="45" xfId="0" applyFill="1" applyBorder="1" applyAlignment="1">
      <alignment vertical="center"/>
    </xf>
    <xf numFmtId="0" fontId="0" fillId="29" borderId="0" xfId="0" applyFill="1"/>
    <xf numFmtId="166" fontId="0" fillId="0" borderId="0" xfId="0" applyNumberFormat="1" applyAlignment="1">
      <alignment horizontal="center" vertical="center"/>
    </xf>
    <xf numFmtId="2" fontId="12" fillId="0" borderId="0" xfId="0" applyNumberFormat="1" applyFont="1" applyAlignment="1">
      <alignment horizontal="right" wrapText="1"/>
    </xf>
    <xf numFmtId="2" fontId="12" fillId="0" borderId="0" xfId="0" applyNumberFormat="1" applyFont="1" applyAlignment="1">
      <alignment horizontal="right"/>
    </xf>
    <xf numFmtId="0" fontId="8" fillId="0" borderId="45" xfId="0" applyFont="1" applyBorder="1"/>
    <xf numFmtId="166" fontId="12" fillId="0" borderId="0" xfId="0" applyNumberFormat="1" applyFont="1" applyAlignment="1">
      <alignment horizontal="right" wrapText="1"/>
    </xf>
    <xf numFmtId="0" fontId="12" fillId="8" borderId="0" xfId="0" applyFont="1" applyFill="1" applyAlignment="1">
      <alignment horizontal="center" vertical="center"/>
    </xf>
    <xf numFmtId="0" fontId="12" fillId="0" borderId="0" xfId="0" quotePrefix="1" applyFont="1"/>
    <xf numFmtId="9" fontId="18" fillId="0" borderId="0" xfId="0" applyNumberFormat="1" applyFont="1" applyAlignment="1">
      <alignment horizontal="center" vertical="center"/>
    </xf>
    <xf numFmtId="2" fontId="14" fillId="26" borderId="45" xfId="0" applyNumberFormat="1" applyFont="1" applyFill="1" applyBorder="1" applyAlignment="1">
      <alignment horizontal="center" vertical="center"/>
    </xf>
    <xf numFmtId="0" fontId="14" fillId="0" borderId="0" xfId="0" applyFont="1" applyAlignment="1">
      <alignment horizontal="center"/>
    </xf>
    <xf numFmtId="0" fontId="12" fillId="26" borderId="0" xfId="0" applyFont="1" applyFill="1" applyAlignment="1">
      <alignment horizontal="center" vertical="center"/>
    </xf>
    <xf numFmtId="14" fontId="12" fillId="0" borderId="0" xfId="2" quotePrefix="1" applyNumberFormat="1" applyFont="1" applyFill="1" applyBorder="1" applyAlignment="1">
      <alignment horizontal="center" vertical="center" wrapText="1"/>
    </xf>
    <xf numFmtId="0" fontId="12" fillId="0" borderId="0" xfId="0" applyFont="1" applyAlignment="1">
      <alignment vertical="center" wrapText="1"/>
    </xf>
    <xf numFmtId="2" fontId="12" fillId="0" borderId="0" xfId="0" applyNumberFormat="1" applyFont="1" applyAlignment="1">
      <alignment horizontal="center" vertical="center" wrapText="1"/>
    </xf>
    <xf numFmtId="164" fontId="12" fillId="0" borderId="0" xfId="0" applyNumberFormat="1" applyFont="1" applyAlignment="1">
      <alignment horizontal="center" vertical="center"/>
    </xf>
    <xf numFmtId="165" fontId="11" fillId="0" borderId="0" xfId="2" applyNumberFormat="1" applyFont="1" applyBorder="1" applyAlignment="1">
      <alignment vertical="center"/>
    </xf>
    <xf numFmtId="2" fontId="11" fillId="0" borderId="0" xfId="0" applyNumberFormat="1" applyFont="1" applyAlignment="1">
      <alignment vertical="center"/>
    </xf>
    <xf numFmtId="164" fontId="11" fillId="0" borderId="0" xfId="0" applyNumberFormat="1" applyFont="1" applyAlignment="1">
      <alignment horizontal="center" vertical="center"/>
    </xf>
    <xf numFmtId="164" fontId="14" fillId="0" borderId="0" xfId="0" applyNumberFormat="1" applyFont="1" applyAlignment="1">
      <alignment horizontal="center" vertical="center"/>
    </xf>
    <xf numFmtId="2" fontId="0" fillId="0" borderId="0" xfId="0" applyNumberFormat="1" applyAlignment="1">
      <alignment vertical="center"/>
    </xf>
    <xf numFmtId="0" fontId="10" fillId="0" borderId="0" xfId="0" applyFont="1" applyAlignment="1">
      <alignment vertical="center"/>
    </xf>
    <xf numFmtId="0" fontId="0" fillId="0" borderId="0" xfId="0" applyAlignment="1">
      <alignment vertical="center" wrapText="1"/>
    </xf>
    <xf numFmtId="0" fontId="0" fillId="8" borderId="0" xfId="0" applyFill="1" applyAlignment="1">
      <alignment vertical="center"/>
    </xf>
    <xf numFmtId="0" fontId="0" fillId="0" borderId="45" xfId="0" applyBorder="1" applyAlignment="1">
      <alignment vertical="center"/>
    </xf>
    <xf numFmtId="0" fontId="0" fillId="0" borderId="34" xfId="0" applyBorder="1" applyAlignment="1">
      <alignment vertical="center"/>
    </xf>
    <xf numFmtId="0" fontId="0" fillId="0" borderId="20" xfId="0" applyBorder="1" applyAlignment="1">
      <alignment vertical="center"/>
    </xf>
    <xf numFmtId="2" fontId="13" fillId="0" borderId="0" xfId="0" applyNumberFormat="1" applyFont="1" applyAlignment="1">
      <alignment vertical="center"/>
    </xf>
    <xf numFmtId="2" fontId="13" fillId="0" borderId="45" xfId="0" applyNumberFormat="1" applyFont="1" applyBorder="1" applyAlignment="1">
      <alignment vertical="center"/>
    </xf>
    <xf numFmtId="2" fontId="8" fillId="0" borderId="0" xfId="0" applyNumberFormat="1" applyFont="1" applyAlignment="1">
      <alignment vertical="center"/>
    </xf>
    <xf numFmtId="2" fontId="13" fillId="0" borderId="20" xfId="0" applyNumberFormat="1" applyFont="1" applyBorder="1" applyAlignment="1">
      <alignment vertical="center"/>
    </xf>
    <xf numFmtId="165" fontId="11" fillId="0" borderId="0" xfId="2" applyNumberFormat="1" applyFont="1" applyFill="1" applyBorder="1" applyAlignment="1">
      <alignment vertical="center"/>
    </xf>
    <xf numFmtId="4" fontId="11" fillId="0" borderId="0" xfId="0" applyNumberFormat="1" applyFont="1" applyAlignment="1">
      <alignment vertical="center"/>
    </xf>
    <xf numFmtId="0" fontId="10" fillId="0" borderId="0" xfId="0" applyFont="1" applyAlignment="1">
      <alignment horizontal="center" vertical="center"/>
    </xf>
    <xf numFmtId="14" fontId="0" fillId="0" borderId="0" xfId="0" applyNumberFormat="1" applyAlignment="1">
      <alignment horizontal="center" vertical="center"/>
    </xf>
    <xf numFmtId="14" fontId="12" fillId="0" borderId="0" xfId="0" applyNumberFormat="1" applyFont="1" applyAlignment="1">
      <alignment horizontal="center" vertical="center"/>
    </xf>
    <xf numFmtId="0" fontId="0" fillId="2" borderId="0" xfId="0" applyFill="1" applyAlignment="1">
      <alignment horizontal="center" vertical="center" wrapText="1"/>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textRotation="90"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7" borderId="1" xfId="0" applyFill="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center" vertical="center"/>
    </xf>
    <xf numFmtId="2" fontId="13" fillId="0" borderId="0" xfId="0" applyNumberFormat="1" applyFont="1" applyAlignment="1">
      <alignment horizontal="center" vertical="center"/>
    </xf>
    <xf numFmtId="165" fontId="13" fillId="0" borderId="0" xfId="0" applyNumberFormat="1" applyFont="1" applyAlignment="1">
      <alignment horizontal="center" vertical="center"/>
    </xf>
    <xf numFmtId="2" fontId="13" fillId="0" borderId="34" xfId="0" applyNumberFormat="1" applyFont="1" applyBorder="1" applyAlignment="1">
      <alignment horizontal="center" vertical="center"/>
    </xf>
    <xf numFmtId="0" fontId="12" fillId="0" borderId="0" xfId="2" quotePrefix="1" applyNumberFormat="1" applyFont="1" applyFill="1" applyBorder="1" applyAlignment="1">
      <alignment horizontal="center" vertical="center" wrapText="1"/>
    </xf>
    <xf numFmtId="14" fontId="12" fillId="0" borderId="0" xfId="0" applyNumberFormat="1" applyFont="1" applyAlignment="1">
      <alignment horizontal="center" vertical="center" wrapText="1"/>
    </xf>
    <xf numFmtId="164" fontId="0" fillId="0" borderId="0" xfId="0" applyNumberFormat="1" applyAlignment="1">
      <alignment horizontal="center" vertical="center"/>
    </xf>
    <xf numFmtId="0" fontId="12" fillId="0" borderId="0" xfId="2" quotePrefix="1" applyNumberFormat="1" applyFont="1" applyFill="1" applyAlignment="1">
      <alignment horizontal="center" vertical="center" wrapText="1"/>
    </xf>
    <xf numFmtId="16" fontId="12" fillId="0" borderId="0" xfId="2" quotePrefix="1" applyNumberFormat="1" applyFont="1" applyFill="1" applyAlignment="1">
      <alignment horizontal="center" vertical="center"/>
    </xf>
    <xf numFmtId="0" fontId="12" fillId="0" borderId="0" xfId="2" applyNumberFormat="1" applyFont="1" applyFill="1" applyAlignment="1">
      <alignment horizontal="center" vertical="center" wrapText="1"/>
    </xf>
    <xf numFmtId="0" fontId="12" fillId="26" borderId="0" xfId="2" quotePrefix="1" applyNumberFormat="1" applyFont="1" applyFill="1" applyBorder="1" applyAlignment="1">
      <alignment horizontal="center" vertical="center" wrapText="1"/>
    </xf>
    <xf numFmtId="14" fontId="12" fillId="26" borderId="0" xfId="0" applyNumberFormat="1" applyFont="1" applyFill="1" applyAlignment="1">
      <alignment horizontal="center" vertical="center" wrapText="1"/>
    </xf>
    <xf numFmtId="0" fontId="12" fillId="26" borderId="0" xfId="0" applyFont="1" applyFill="1" applyAlignment="1">
      <alignment horizontal="center" vertical="center" wrapText="1"/>
    </xf>
    <xf numFmtId="0" fontId="0" fillId="26" borderId="0" xfId="0" applyFill="1" applyAlignment="1">
      <alignment horizontal="center" vertical="center" wrapText="1"/>
    </xf>
    <xf numFmtId="0" fontId="12" fillId="0" borderId="0" xfId="0" quotePrefix="1" applyFont="1" applyAlignment="1">
      <alignment horizontal="center" vertical="center" wrapText="1"/>
    </xf>
    <xf numFmtId="14" fontId="24" fillId="0" borderId="0" xfId="0" applyNumberFormat="1" applyFont="1" applyAlignment="1">
      <alignment horizontal="center" vertical="center"/>
    </xf>
    <xf numFmtId="14" fontId="12" fillId="26" borderId="0" xfId="2" quotePrefix="1" applyNumberFormat="1" applyFont="1" applyFill="1" applyBorder="1" applyAlignment="1">
      <alignment horizontal="center" vertical="center" wrapText="1"/>
    </xf>
    <xf numFmtId="16" fontId="12" fillId="0" borderId="0" xfId="2" applyNumberFormat="1" applyFont="1" applyFill="1" applyAlignment="1">
      <alignment horizontal="center" vertical="center"/>
    </xf>
    <xf numFmtId="14" fontId="12" fillId="0" borderId="0" xfId="2" applyNumberFormat="1" applyFont="1" applyFill="1" applyAlignment="1">
      <alignment horizontal="center" vertical="center"/>
    </xf>
    <xf numFmtId="0" fontId="12" fillId="0" borderId="0" xfId="2" applyNumberFormat="1" applyFont="1" applyFill="1" applyAlignment="1">
      <alignment horizontal="center" vertical="center"/>
    </xf>
    <xf numFmtId="0" fontId="14" fillId="26" borderId="0" xfId="0" applyFont="1" applyFill="1" applyAlignment="1">
      <alignment horizontal="center" vertical="center" wrapText="1"/>
    </xf>
    <xf numFmtId="0" fontId="0" fillId="0" borderId="2" xfId="0" applyBorder="1" applyAlignment="1">
      <alignment vertical="center"/>
    </xf>
    <xf numFmtId="0" fontId="0" fillId="4" borderId="0" xfId="0" applyFill="1"/>
    <xf numFmtId="0" fontId="0" fillId="14" borderId="1" xfId="0" applyFill="1" applyBorder="1" applyAlignment="1">
      <alignment horizontal="center" wrapText="1"/>
    </xf>
    <xf numFmtId="0" fontId="0" fillId="30" borderId="1" xfId="0" applyFill="1" applyBorder="1" applyAlignment="1">
      <alignment horizontal="center" wrapText="1"/>
    </xf>
    <xf numFmtId="0" fontId="0" fillId="16" borderId="1" xfId="0" applyFill="1" applyBorder="1" applyAlignment="1">
      <alignment horizontal="center" wrapText="1"/>
    </xf>
    <xf numFmtId="0" fontId="0" fillId="31" borderId="1" xfId="0" applyFill="1" applyBorder="1" applyAlignment="1">
      <alignment horizontal="center" wrapText="1"/>
    </xf>
    <xf numFmtId="0" fontId="0" fillId="17" borderId="1" xfId="0" applyFill="1" applyBorder="1" applyAlignment="1">
      <alignment horizontal="center" wrapText="1"/>
    </xf>
    <xf numFmtId="0" fontId="0" fillId="5" borderId="0" xfId="0" applyFill="1" applyAlignment="1">
      <alignment vertical="center"/>
    </xf>
    <xf numFmtId="0" fontId="0" fillId="5" borderId="0" xfId="0" applyFill="1" applyAlignment="1">
      <alignment horizontal="center" vertical="center"/>
    </xf>
    <xf numFmtId="14" fontId="0" fillId="5" borderId="0" xfId="0" applyNumberFormat="1" applyFill="1" applyAlignment="1">
      <alignment horizontal="center" vertical="center"/>
    </xf>
    <xf numFmtId="0" fontId="0" fillId="5" borderId="0" xfId="0" applyFill="1" applyAlignment="1">
      <alignment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0" fillId="14"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30"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31" borderId="1" xfId="0" applyFill="1" applyBorder="1" applyAlignment="1">
      <alignment horizontal="center" vertical="center" wrapText="1"/>
    </xf>
    <xf numFmtId="0" fontId="0" fillId="17" borderId="1" xfId="0" applyFill="1" applyBorder="1" applyAlignment="1">
      <alignment horizontal="center" vertical="center" wrapText="1"/>
    </xf>
    <xf numFmtId="0" fontId="9" fillId="0" borderId="0" xfId="2" applyNumberFormat="1" applyFont="1" applyFill="1" applyAlignment="1">
      <alignment horizontal="center"/>
    </xf>
    <xf numFmtId="164" fontId="14" fillId="0" borderId="0" xfId="0" applyNumberFormat="1" applyFont="1" applyAlignment="1">
      <alignment horizontal="center"/>
    </xf>
    <xf numFmtId="164" fontId="0" fillId="0" borderId="0" xfId="0" applyNumberFormat="1" applyAlignment="1">
      <alignment horizontal="center"/>
    </xf>
    <xf numFmtId="164" fontId="0" fillId="6" borderId="0" xfId="0" applyNumberFormat="1" applyFill="1"/>
    <xf numFmtId="164" fontId="0" fillId="0" borderId="0" xfId="0" applyNumberFormat="1"/>
    <xf numFmtId="164" fontId="0" fillId="8" borderId="0" xfId="0" applyNumberFormat="1" applyFill="1" applyAlignment="1">
      <alignment horizontal="center"/>
    </xf>
    <xf numFmtId="164" fontId="0" fillId="8" borderId="0" xfId="0" applyNumberFormat="1" applyFill="1"/>
    <xf numFmtId="164" fontId="0" fillId="6" borderId="0" xfId="0" applyNumberFormat="1" applyFill="1" applyAlignment="1">
      <alignment horizontal="center"/>
    </xf>
    <xf numFmtId="164" fontId="0" fillId="18" borderId="0" xfId="0" applyNumberFormat="1" applyFill="1"/>
    <xf numFmtId="164" fontId="0" fillId="18" borderId="0" xfId="0" applyNumberFormat="1" applyFill="1" applyAlignment="1">
      <alignment horizontal="center"/>
    </xf>
    <xf numFmtId="9" fontId="14" fillId="0" borderId="0" xfId="0" applyNumberFormat="1" applyFont="1"/>
    <xf numFmtId="9" fontId="14" fillId="6" borderId="0" xfId="0" applyNumberFormat="1" applyFont="1" applyFill="1"/>
    <xf numFmtId="9" fontId="14" fillId="8" borderId="0" xfId="0" applyNumberFormat="1" applyFont="1" applyFill="1"/>
    <xf numFmtId="164" fontId="14" fillId="8" borderId="0" xfId="0" applyNumberFormat="1" applyFont="1" applyFill="1" applyAlignment="1">
      <alignment horizontal="center"/>
    </xf>
    <xf numFmtId="164" fontId="14" fillId="6" borderId="0" xfId="0" applyNumberFormat="1" applyFont="1" applyFill="1" applyAlignment="1">
      <alignment horizontal="center"/>
    </xf>
    <xf numFmtId="9" fontId="14" fillId="18" borderId="0" xfId="0" applyNumberFormat="1" applyFont="1" applyFill="1"/>
    <xf numFmtId="2" fontId="0" fillId="0" borderId="45" xfId="0" applyNumberFormat="1" applyBorder="1" applyAlignment="1">
      <alignment vertical="center"/>
    </xf>
    <xf numFmtId="0" fontId="8" fillId="0" borderId="64" xfId="0" applyFont="1" applyBorder="1"/>
    <xf numFmtId="0" fontId="0" fillId="0" borderId="65" xfId="0" applyBorder="1"/>
    <xf numFmtId="0" fontId="0" fillId="0" borderId="66" xfId="0" applyBorder="1"/>
    <xf numFmtId="9" fontId="12" fillId="26" borderId="45" xfId="0" applyNumberFormat="1" applyFont="1" applyFill="1" applyBorder="1" applyAlignment="1">
      <alignment horizontal="center" vertical="center" wrapText="1"/>
    </xf>
    <xf numFmtId="9" fontId="12" fillId="0" borderId="45" xfId="0" applyNumberFormat="1" applyFont="1" applyBorder="1" applyAlignment="1">
      <alignment horizontal="center" vertical="center" wrapText="1"/>
    </xf>
    <xf numFmtId="9" fontId="0" fillId="0" borderId="45" xfId="0" applyNumberFormat="1" applyBorder="1" applyAlignment="1">
      <alignment vertical="center"/>
    </xf>
    <xf numFmtId="9" fontId="14" fillId="26" borderId="45" xfId="0" applyNumberFormat="1" applyFont="1" applyFill="1" applyBorder="1" applyAlignment="1">
      <alignment horizontal="center" vertical="center" wrapText="1"/>
    </xf>
    <xf numFmtId="0" fontId="0" fillId="0" borderId="27" xfId="0" applyBorder="1" applyAlignment="1">
      <alignment horizontal="center" wrapText="1"/>
    </xf>
    <xf numFmtId="0" fontId="0" fillId="0" borderId="39" xfId="0" applyBorder="1"/>
    <xf numFmtId="0" fontId="8" fillId="0" borderId="39" xfId="0" applyFont="1" applyBorder="1"/>
    <xf numFmtId="0" fontId="8" fillId="0" borderId="24" xfId="0" applyFont="1" applyBorder="1"/>
    <xf numFmtId="0" fontId="8" fillId="0" borderId="39" xfId="0" applyFont="1" applyBorder="1" applyAlignment="1">
      <alignment horizontal="left"/>
    </xf>
    <xf numFmtId="0" fontId="0" fillId="0" borderId="54" xfId="0" applyBorder="1" applyAlignment="1">
      <alignment horizontal="center"/>
    </xf>
    <xf numFmtId="0" fontId="0" fillId="0" borderId="54" xfId="0" applyBorder="1"/>
    <xf numFmtId="0" fontId="0" fillId="0" borderId="55" xfId="0" applyBorder="1"/>
    <xf numFmtId="0" fontId="0" fillId="0" borderId="45" xfId="0" applyBorder="1" applyAlignment="1">
      <alignment horizontal="right" wrapText="1"/>
    </xf>
    <xf numFmtId="0" fontId="8" fillId="0" borderId="2" xfId="0" applyFont="1" applyBorder="1"/>
    <xf numFmtId="165" fontId="0" fillId="0" borderId="25" xfId="0" applyNumberFormat="1" applyBorder="1" applyAlignment="1">
      <alignment horizontal="center"/>
    </xf>
    <xf numFmtId="165" fontId="0" fillId="0" borderId="26" xfId="0" applyNumberFormat="1" applyBorder="1" applyAlignment="1">
      <alignment horizontal="center"/>
    </xf>
    <xf numFmtId="2" fontId="0" fillId="0" borderId="45" xfId="0" applyNumberFormat="1" applyBorder="1" applyAlignment="1">
      <alignment horizontal="right" wrapText="1"/>
    </xf>
    <xf numFmtId="168" fontId="9" fillId="0" borderId="0" xfId="0" applyNumberFormat="1" applyFont="1" applyAlignment="1">
      <alignment horizontal="center" vertical="center"/>
    </xf>
    <xf numFmtId="168" fontId="0" fillId="0" borderId="32" xfId="0" applyNumberFormat="1" applyBorder="1" applyAlignment="1">
      <alignment horizontal="center"/>
    </xf>
    <xf numFmtId="168" fontId="0" fillId="0" borderId="0" xfId="0" applyNumberFormat="1" applyAlignment="1">
      <alignment horizontal="center"/>
    </xf>
    <xf numFmtId="3" fontId="9" fillId="0" borderId="28" xfId="0" applyNumberFormat="1" applyFont="1" applyBorder="1" applyAlignment="1">
      <alignment horizontal="center" vertical="center"/>
    </xf>
    <xf numFmtId="3" fontId="0" fillId="0" borderId="28" xfId="0" applyNumberFormat="1" applyBorder="1" applyAlignment="1">
      <alignment horizontal="center"/>
    </xf>
    <xf numFmtId="3" fontId="9" fillId="0" borderId="0" xfId="0" applyNumberFormat="1" applyFont="1" applyAlignment="1">
      <alignment horizontal="center" vertical="center"/>
    </xf>
    <xf numFmtId="168" fontId="0" fillId="0" borderId="32" xfId="0" applyNumberFormat="1" applyBorder="1" applyAlignment="1">
      <alignment horizontal="center" wrapText="1"/>
    </xf>
    <xf numFmtId="168" fontId="0" fillId="0" borderId="27" xfId="0" applyNumberFormat="1" applyBorder="1" applyAlignment="1">
      <alignment horizontal="center" wrapText="1"/>
    </xf>
    <xf numFmtId="168" fontId="0" fillId="0" borderId="25" xfId="0" applyNumberFormat="1" applyBorder="1" applyAlignment="1">
      <alignment horizontal="center"/>
    </xf>
    <xf numFmtId="168" fontId="0" fillId="0" borderId="26" xfId="0" applyNumberFormat="1" applyBorder="1" applyAlignment="1">
      <alignment horizontal="center"/>
    </xf>
    <xf numFmtId="168" fontId="9" fillId="0" borderId="28" xfId="0" applyNumberFormat="1" applyFont="1" applyBorder="1" applyAlignment="1">
      <alignment horizontal="center" vertical="center"/>
    </xf>
    <xf numFmtId="0" fontId="8" fillId="0" borderId="0" xfId="0" applyFont="1" applyAlignment="1">
      <alignment horizontal="center" vertical="center"/>
    </xf>
    <xf numFmtId="2" fontId="0" fillId="0" borderId="0" xfId="0" applyNumberFormat="1" applyAlignment="1">
      <alignment horizontal="center" vertical="center" wrapText="1"/>
    </xf>
    <xf numFmtId="2" fontId="0" fillId="0" borderId="34" xfId="0" applyNumberFormat="1" applyBorder="1" applyAlignment="1">
      <alignment horizontal="center" vertical="center" wrapText="1"/>
    </xf>
    <xf numFmtId="2" fontId="0" fillId="26" borderId="0" xfId="0" applyNumberFormat="1" applyFill="1" applyAlignment="1">
      <alignment horizontal="center" vertical="center" wrapText="1"/>
    </xf>
    <xf numFmtId="2" fontId="0" fillId="26" borderId="34" xfId="0" applyNumberFormat="1" applyFill="1" applyBorder="1" applyAlignment="1">
      <alignment horizontal="center" vertical="center" wrapText="1"/>
    </xf>
    <xf numFmtId="2" fontId="0" fillId="0" borderId="45" xfId="0" applyNumberFormat="1" applyBorder="1" applyAlignment="1">
      <alignment horizontal="center" vertical="center" wrapText="1"/>
    </xf>
    <xf numFmtId="2" fontId="0" fillId="26" borderId="45" xfId="0" applyNumberFormat="1" applyFill="1" applyBorder="1" applyAlignment="1">
      <alignment horizontal="center" vertical="center" wrapText="1"/>
    </xf>
    <xf numFmtId="2" fontId="8" fillId="0" borderId="55" xfId="0" applyNumberFormat="1" applyFont="1" applyBorder="1" applyAlignment="1">
      <alignment horizontal="center" vertical="center"/>
    </xf>
    <xf numFmtId="2" fontId="8" fillId="0" borderId="25" xfId="0" applyNumberFormat="1" applyFont="1" applyBorder="1" applyAlignment="1">
      <alignment horizontal="center" vertical="center"/>
    </xf>
    <xf numFmtId="2" fontId="8" fillId="0" borderId="38" xfId="0" applyNumberFormat="1" applyFont="1" applyBorder="1" applyAlignment="1">
      <alignment horizontal="center" vertical="center"/>
    </xf>
    <xf numFmtId="0" fontId="12" fillId="0" borderId="0" xfId="0" applyFont="1" applyAlignment="1">
      <alignment wrapText="1"/>
    </xf>
    <xf numFmtId="9" fontId="0" fillId="9" borderId="35" xfId="0" applyNumberFormat="1" applyFill="1" applyBorder="1" applyAlignment="1">
      <alignment horizontal="left"/>
    </xf>
    <xf numFmtId="9" fontId="26" fillId="11" borderId="37" xfId="0" applyNumberFormat="1" applyFont="1" applyFill="1" applyBorder="1" applyAlignment="1">
      <alignment horizontal="center"/>
    </xf>
    <xf numFmtId="9" fontId="26" fillId="11" borderId="33" xfId="0" applyNumberFormat="1" applyFont="1" applyFill="1" applyBorder="1" applyAlignment="1">
      <alignment horizontal="center"/>
    </xf>
    <xf numFmtId="0" fontId="26" fillId="11" borderId="49" xfId="0" applyFont="1" applyFill="1" applyBorder="1"/>
    <xf numFmtId="0" fontId="26" fillId="11" borderId="24" xfId="0" applyFont="1" applyFill="1" applyBorder="1"/>
    <xf numFmtId="0" fontId="0" fillId="11" borderId="26" xfId="0" applyFill="1" applyBorder="1" applyAlignment="1">
      <alignment horizontal="center"/>
    </xf>
    <xf numFmtId="2" fontId="18" fillId="0" borderId="0" xfId="0" applyNumberFormat="1" applyFont="1" applyAlignment="1">
      <alignment horizontal="center"/>
    </xf>
    <xf numFmtId="165" fontId="18" fillId="0" borderId="0" xfId="0" applyNumberFormat="1" applyFont="1" applyAlignment="1">
      <alignment horizontal="center"/>
    </xf>
    <xf numFmtId="165" fontId="0" fillId="0" borderId="0" xfId="0" applyNumberFormat="1"/>
    <xf numFmtId="2" fontId="26" fillId="0" borderId="0" xfId="0" applyNumberFormat="1" applyFont="1" applyAlignment="1">
      <alignment horizontal="center"/>
    </xf>
    <xf numFmtId="9" fontId="26" fillId="0" borderId="45" xfId="0" applyNumberFormat="1" applyFont="1" applyBorder="1" applyAlignment="1">
      <alignment horizontal="center"/>
    </xf>
    <xf numFmtId="0" fontId="43" fillId="0" borderId="0" xfId="45" applyFont="1" applyAlignment="1">
      <alignment horizontal="center" vertical="center"/>
    </xf>
    <xf numFmtId="0" fontId="44" fillId="0" borderId="0" xfId="45" applyFont="1" applyAlignment="1">
      <alignment horizontal="center" vertical="center"/>
    </xf>
    <xf numFmtId="0" fontId="0" fillId="0" borderId="0" xfId="0" applyAlignment="1">
      <alignment vertical="top" wrapText="1"/>
    </xf>
    <xf numFmtId="0" fontId="8" fillId="0" borderId="13" xfId="0" applyFont="1" applyBorder="1" applyAlignment="1">
      <alignment horizontal="center" vertical="center" wrapText="1"/>
    </xf>
    <xf numFmtId="0" fontId="12" fillId="65" borderId="0" xfId="0" applyFont="1" applyFill="1"/>
    <xf numFmtId="0" fontId="12" fillId="65" borderId="0" xfId="0" applyFont="1" applyFill="1" applyAlignment="1">
      <alignment horizontal="center" wrapText="1"/>
    </xf>
    <xf numFmtId="2" fontId="12" fillId="65" borderId="0" xfId="0" applyNumberFormat="1" applyFont="1" applyFill="1"/>
    <xf numFmtId="165" fontId="11" fillId="65" borderId="0" xfId="2" applyNumberFormat="1" applyFont="1" applyFill="1"/>
    <xf numFmtId="2" fontId="11" fillId="65" borderId="0" xfId="0" applyNumberFormat="1" applyFont="1" applyFill="1"/>
    <xf numFmtId="2" fontId="14" fillId="65" borderId="0" xfId="0" applyNumberFormat="1" applyFont="1" applyFill="1"/>
    <xf numFmtId="2" fontId="12" fillId="65" borderId="0" xfId="0" applyNumberFormat="1" applyFont="1" applyFill="1" applyAlignment="1">
      <alignment horizontal="center"/>
    </xf>
    <xf numFmtId="164" fontId="0" fillId="65" borderId="0" xfId="0" applyNumberFormat="1" applyFill="1"/>
    <xf numFmtId="9" fontId="14" fillId="65" borderId="0" xfId="0" applyNumberFormat="1" applyFont="1" applyFill="1"/>
    <xf numFmtId="2" fontId="14" fillId="65" borderId="0" xfId="0" applyNumberFormat="1" applyFont="1" applyFill="1" applyAlignment="1">
      <alignment horizontal="center"/>
    </xf>
    <xf numFmtId="2" fontId="11" fillId="65" borderId="0" xfId="0" applyNumberFormat="1" applyFont="1" applyFill="1" applyAlignment="1">
      <alignment horizontal="center"/>
    </xf>
    <xf numFmtId="2" fontId="11" fillId="65" borderId="45" xfId="0" applyNumberFormat="1" applyFont="1" applyFill="1" applyBorder="1"/>
    <xf numFmtId="0" fontId="0" fillId="65" borderId="0" xfId="0" applyFill="1"/>
    <xf numFmtId="2" fontId="14" fillId="65" borderId="45" xfId="0" applyNumberFormat="1" applyFont="1" applyFill="1" applyBorder="1"/>
    <xf numFmtId="0" fontId="0" fillId="65" borderId="45" xfId="0" applyFill="1" applyBorder="1" applyAlignment="1">
      <alignment horizontal="center"/>
    </xf>
    <xf numFmtId="9" fontId="14" fillId="65" borderId="0" xfId="2" applyFont="1" applyFill="1" applyBorder="1"/>
    <xf numFmtId="2" fontId="11" fillId="65" borderId="45" xfId="0" applyNumberFormat="1" applyFont="1" applyFill="1" applyBorder="1" applyAlignment="1">
      <alignment horizontal="center"/>
    </xf>
    <xf numFmtId="0" fontId="9" fillId="65" borderId="0" xfId="0" applyFont="1" applyFill="1"/>
    <xf numFmtId="0" fontId="12" fillId="65" borderId="0" xfId="2" applyNumberFormat="1" applyFont="1" applyFill="1" applyAlignment="1">
      <alignment horizontal="center"/>
    </xf>
    <xf numFmtId="0" fontId="12" fillId="65" borderId="0" xfId="0" applyFont="1" applyFill="1" applyAlignment="1">
      <alignment horizontal="center"/>
    </xf>
    <xf numFmtId="164" fontId="11" fillId="65" borderId="0" xfId="0" applyNumberFormat="1" applyFont="1" applyFill="1" applyAlignment="1">
      <alignment horizontal="center"/>
    </xf>
    <xf numFmtId="164" fontId="0" fillId="65" borderId="0" xfId="0" applyNumberFormat="1" applyFill="1" applyAlignment="1">
      <alignment horizontal="center"/>
    </xf>
    <xf numFmtId="9" fontId="14" fillId="65" borderId="0" xfId="0" applyNumberFormat="1" applyFont="1" applyFill="1" applyAlignment="1">
      <alignment horizontal="center"/>
    </xf>
    <xf numFmtId="164" fontId="14" fillId="65" borderId="0" xfId="0" applyNumberFormat="1" applyFont="1" applyFill="1" applyAlignment="1">
      <alignment horizontal="center"/>
    </xf>
    <xf numFmtId="9" fontId="11" fillId="65" borderId="0" xfId="0" applyNumberFormat="1" applyFont="1" applyFill="1" applyAlignment="1">
      <alignment horizontal="center"/>
    </xf>
    <xf numFmtId="165" fontId="14" fillId="65" borderId="0" xfId="0" applyNumberFormat="1" applyFont="1" applyFill="1" applyAlignment="1">
      <alignment horizontal="center"/>
    </xf>
    <xf numFmtId="2" fontId="11" fillId="65" borderId="45" xfId="0" applyNumberFormat="1" applyFont="1" applyFill="1" applyBorder="1" applyAlignment="1">
      <alignment horizontal="center" vertical="center"/>
    </xf>
    <xf numFmtId="2" fontId="0" fillId="65" borderId="0" xfId="0" applyNumberFormat="1" applyFill="1" applyAlignment="1">
      <alignment vertical="center"/>
    </xf>
    <xf numFmtId="2" fontId="0" fillId="65" borderId="45" xfId="0" applyNumberFormat="1" applyFill="1" applyBorder="1" applyAlignment="1">
      <alignment horizontal="center"/>
    </xf>
    <xf numFmtId="2" fontId="14" fillId="65" borderId="45" xfId="0" applyNumberFormat="1" applyFont="1" applyFill="1" applyBorder="1" applyAlignment="1">
      <alignment horizontal="center" vertical="center"/>
    </xf>
    <xf numFmtId="9" fontId="14" fillId="65" borderId="45" xfId="0" applyNumberFormat="1" applyFont="1" applyFill="1" applyBorder="1" applyAlignment="1">
      <alignment horizontal="center"/>
    </xf>
    <xf numFmtId="2" fontId="14" fillId="65" borderId="45" xfId="0" applyNumberFormat="1" applyFont="1" applyFill="1" applyBorder="1" applyAlignment="1">
      <alignment horizontal="center"/>
    </xf>
    <xf numFmtId="0" fontId="12" fillId="65" borderId="0" xfId="2" quotePrefix="1" applyNumberFormat="1" applyFont="1" applyFill="1" applyAlignment="1">
      <alignment horizontal="center"/>
    </xf>
    <xf numFmtId="9" fontId="0" fillId="65" borderId="0" xfId="0" applyNumberFormat="1" applyFill="1" applyAlignment="1">
      <alignment horizontal="center"/>
    </xf>
    <xf numFmtId="2" fontId="0" fillId="65" borderId="0" xfId="0" applyNumberFormat="1" applyFill="1" applyAlignment="1">
      <alignment horizontal="center"/>
    </xf>
    <xf numFmtId="9" fontId="0" fillId="65" borderId="45" xfId="0" applyNumberFormat="1" applyFill="1" applyBorder="1" applyAlignment="1">
      <alignment horizontal="center"/>
    </xf>
    <xf numFmtId="0" fontId="12" fillId="65" borderId="0" xfId="0" applyFont="1" applyFill="1" applyAlignment="1">
      <alignment wrapText="1"/>
    </xf>
    <xf numFmtId="2" fontId="0" fillId="65" borderId="0" xfId="0" applyNumberFormat="1" applyFill="1"/>
    <xf numFmtId="2" fontId="8" fillId="65" borderId="45" xfId="0" applyNumberFormat="1" applyFont="1" applyFill="1" applyBorder="1" applyAlignment="1">
      <alignment horizontal="center"/>
    </xf>
    <xf numFmtId="2" fontId="8" fillId="65" borderId="0" xfId="0" applyNumberFormat="1" applyFont="1" applyFill="1" applyAlignment="1">
      <alignment horizontal="center"/>
    </xf>
    <xf numFmtId="2" fontId="11" fillId="65" borderId="0" xfId="2" applyNumberFormat="1" applyFont="1" applyFill="1"/>
    <xf numFmtId="0" fontId="41" fillId="65" borderId="0" xfId="44" applyFill="1" applyBorder="1"/>
    <xf numFmtId="0" fontId="0" fillId="65" borderId="0" xfId="0" applyFill="1" applyAlignment="1">
      <alignment horizontal="center"/>
    </xf>
    <xf numFmtId="0" fontId="12" fillId="65" borderId="0" xfId="0" applyFont="1" applyFill="1" applyAlignment="1">
      <alignment horizontal="right"/>
    </xf>
    <xf numFmtId="0" fontId="11" fillId="65" borderId="0" xfId="0" applyFont="1" applyFill="1" applyAlignment="1">
      <alignment horizontal="center"/>
    </xf>
    <xf numFmtId="9" fontId="18" fillId="65" borderId="0" xfId="0" applyNumberFormat="1" applyFont="1" applyFill="1" applyAlignment="1">
      <alignment horizontal="center"/>
    </xf>
    <xf numFmtId="2" fontId="18" fillId="65" borderId="0" xfId="0" applyNumberFormat="1" applyFont="1" applyFill="1" applyAlignment="1">
      <alignment horizontal="center"/>
    </xf>
    <xf numFmtId="165" fontId="18" fillId="65" borderId="0" xfId="0" applyNumberFormat="1" applyFont="1" applyFill="1" applyAlignment="1">
      <alignment horizontal="center"/>
    </xf>
    <xf numFmtId="2" fontId="12" fillId="65" borderId="0" xfId="0" applyNumberFormat="1" applyFont="1" applyFill="1" applyAlignment="1">
      <alignment horizontal="right"/>
    </xf>
    <xf numFmtId="9" fontId="26" fillId="65" borderId="45" xfId="0" applyNumberFormat="1" applyFont="1" applyFill="1" applyBorder="1" applyAlignment="1">
      <alignment horizontal="center"/>
    </xf>
    <xf numFmtId="2" fontId="26" fillId="65" borderId="0" xfId="0" applyNumberFormat="1" applyFont="1" applyFill="1" applyAlignment="1">
      <alignment horizontal="center"/>
    </xf>
    <xf numFmtId="2" fontId="26" fillId="65" borderId="0" xfId="0" applyNumberFormat="1" applyFont="1" applyFill="1"/>
    <xf numFmtId="2" fontId="0" fillId="65" borderId="45" xfId="0" applyNumberFormat="1" applyFill="1" applyBorder="1" applyAlignment="1">
      <alignment horizontal="center" vertical="center"/>
    </xf>
    <xf numFmtId="2" fontId="8" fillId="0" borderId="45" xfId="0" applyNumberFormat="1" applyFont="1" applyBorder="1" applyAlignment="1">
      <alignment horizontal="center" wrapText="1"/>
    </xf>
    <xf numFmtId="0" fontId="0" fillId="65" borderId="45" xfId="0" applyFill="1" applyBorder="1"/>
    <xf numFmtId="9" fontId="0" fillId="65" borderId="0" xfId="0" applyNumberFormat="1" applyFill="1" applyAlignment="1">
      <alignment vertical="center"/>
    </xf>
    <xf numFmtId="9" fontId="11" fillId="65" borderId="45" xfId="0" applyNumberFormat="1" applyFont="1" applyFill="1" applyBorder="1" applyAlignment="1">
      <alignment horizontal="center" vertical="center"/>
    </xf>
    <xf numFmtId="9" fontId="14" fillId="65" borderId="0" xfId="0" applyNumberFormat="1" applyFont="1" applyFill="1" applyAlignment="1">
      <alignment horizontal="center" vertical="center"/>
    </xf>
    <xf numFmtId="2" fontId="14" fillId="65" borderId="0" xfId="0" applyNumberFormat="1" applyFont="1" applyFill="1" applyAlignment="1">
      <alignment horizontal="center" vertical="center"/>
    </xf>
    <xf numFmtId="0" fontId="12" fillId="65" borderId="0" xfId="0" applyFont="1" applyFill="1" applyAlignment="1">
      <alignment horizontal="left" vertical="top"/>
    </xf>
    <xf numFmtId="168" fontId="0" fillId="0" borderId="0" xfId="0" applyNumberFormat="1"/>
    <xf numFmtId="165" fontId="0" fillId="65" borderId="0" xfId="0" applyNumberFormat="1" applyFill="1" applyAlignment="1">
      <alignment horizontal="center"/>
    </xf>
    <xf numFmtId="4" fontId="45" fillId="0" borderId="0" xfId="0" applyNumberFormat="1" applyFont="1" applyAlignment="1">
      <alignment horizontal="center" vertical="center"/>
    </xf>
    <xf numFmtId="168" fontId="0" fillId="0" borderId="0" xfId="0" applyNumberFormat="1" applyAlignment="1">
      <alignment horizontal="center" wrapText="1"/>
    </xf>
    <xf numFmtId="0" fontId="46" fillId="66" borderId="0" xfId="0" applyFont="1" applyFill="1"/>
    <xf numFmtId="0" fontId="46" fillId="66" borderId="0" xfId="0" applyFont="1" applyFill="1" applyAlignment="1">
      <alignment wrapText="1"/>
    </xf>
    <xf numFmtId="0" fontId="46" fillId="0" borderId="0" xfId="0" applyFont="1"/>
    <xf numFmtId="0" fontId="47" fillId="68" borderId="0" xfId="0" applyFont="1" applyFill="1" applyAlignment="1">
      <alignment horizontal="center" vertical="center" wrapText="1"/>
    </xf>
    <xf numFmtId="0" fontId="46" fillId="66" borderId="1" xfId="0" applyFont="1" applyFill="1" applyBorder="1" applyAlignment="1">
      <alignment wrapText="1"/>
    </xf>
    <xf numFmtId="0" fontId="46" fillId="66" borderId="1" xfId="0" applyFont="1" applyFill="1" applyBorder="1"/>
    <xf numFmtId="44" fontId="46" fillId="66" borderId="1" xfId="0" applyNumberFormat="1" applyFont="1" applyFill="1" applyBorder="1" applyAlignment="1">
      <alignment horizontal="center" wrapText="1"/>
    </xf>
    <xf numFmtId="0" fontId="46" fillId="67" borderId="50" xfId="0" applyFont="1" applyFill="1" applyBorder="1" applyAlignment="1">
      <alignment horizontal="center" wrapText="1"/>
    </xf>
    <xf numFmtId="0" fontId="46" fillId="67" borderId="1" xfId="0" applyFont="1" applyFill="1" applyBorder="1" applyAlignment="1">
      <alignment horizontal="center" wrapText="1"/>
    </xf>
    <xf numFmtId="0" fontId="47" fillId="68" borderId="1" xfId="0" applyFont="1" applyFill="1" applyBorder="1" applyAlignment="1">
      <alignment horizontal="center" wrapText="1"/>
    </xf>
    <xf numFmtId="0" fontId="46" fillId="69" borderId="50" xfId="0" applyFont="1" applyFill="1" applyBorder="1" applyAlignment="1">
      <alignment horizontal="center" wrapText="1"/>
    </xf>
    <xf numFmtId="0" fontId="46" fillId="69" borderId="1" xfId="0" applyFont="1" applyFill="1" applyBorder="1" applyAlignment="1">
      <alignment horizontal="center" wrapText="1"/>
    </xf>
    <xf numFmtId="0" fontId="46" fillId="69" borderId="53" xfId="0" applyFont="1" applyFill="1" applyBorder="1" applyAlignment="1">
      <alignment horizontal="center" wrapText="1"/>
    </xf>
    <xf numFmtId="0" fontId="46" fillId="66" borderId="50" xfId="0" applyFont="1" applyFill="1" applyBorder="1" applyAlignment="1">
      <alignment horizontal="center" wrapText="1"/>
    </xf>
    <xf numFmtId="0" fontId="46" fillId="66" borderId="1" xfId="0" applyFont="1" applyFill="1" applyBorder="1" applyAlignment="1">
      <alignment horizontal="center" wrapText="1"/>
    </xf>
    <xf numFmtId="0" fontId="46" fillId="66" borderId="53" xfId="0" applyFont="1" applyFill="1" applyBorder="1" applyAlignment="1">
      <alignment horizontal="center" wrapText="1"/>
    </xf>
    <xf numFmtId="0" fontId="46" fillId="70" borderId="50" xfId="0" applyFont="1" applyFill="1" applyBorder="1" applyAlignment="1">
      <alignment horizontal="center" wrapText="1"/>
    </xf>
    <xf numFmtId="0" fontId="46" fillId="70" borderId="1" xfId="0" applyFont="1" applyFill="1" applyBorder="1" applyAlignment="1">
      <alignment horizontal="center" wrapText="1"/>
    </xf>
    <xf numFmtId="0" fontId="46" fillId="0" borderId="1" xfId="0" applyFont="1" applyBorder="1"/>
    <xf numFmtId="0" fontId="48" fillId="0" borderId="0" xfId="0" applyFont="1" applyAlignment="1">
      <alignment horizontal="left"/>
    </xf>
    <xf numFmtId="2" fontId="48" fillId="67" borderId="45" xfId="0" applyNumberFormat="1" applyFont="1" applyFill="1" applyBorder="1" applyAlignment="1">
      <alignment horizontal="center"/>
    </xf>
    <xf numFmtId="2" fontId="48" fillId="67" borderId="0" xfId="0" applyNumberFormat="1" applyFont="1" applyFill="1" applyAlignment="1">
      <alignment horizontal="center"/>
    </xf>
    <xf numFmtId="0" fontId="46" fillId="68" borderId="0" xfId="0" applyFont="1" applyFill="1" applyAlignment="1">
      <alignment wrapText="1"/>
    </xf>
    <xf numFmtId="0" fontId="46" fillId="68" borderId="34" xfId="0" applyFont="1" applyFill="1" applyBorder="1" applyAlignment="1">
      <alignment wrapText="1"/>
    </xf>
    <xf numFmtId="0" fontId="46" fillId="69" borderId="0" xfId="0" applyFont="1" applyFill="1" applyAlignment="1">
      <alignment wrapText="1"/>
    </xf>
    <xf numFmtId="0" fontId="46" fillId="69" borderId="34" xfId="0" applyFont="1" applyFill="1" applyBorder="1" applyAlignment="1">
      <alignment wrapText="1"/>
    </xf>
    <xf numFmtId="2" fontId="48" fillId="66" borderId="0" xfId="0" applyNumberFormat="1" applyFont="1" applyFill="1"/>
    <xf numFmtId="2" fontId="48" fillId="66" borderId="34" xfId="0" applyNumberFormat="1" applyFont="1" applyFill="1" applyBorder="1"/>
    <xf numFmtId="2" fontId="48" fillId="70" borderId="0" xfId="0" applyNumberFormat="1" applyFont="1" applyFill="1" applyAlignment="1">
      <alignment horizontal="center"/>
    </xf>
    <xf numFmtId="2" fontId="46" fillId="67" borderId="45" xfId="0" applyNumberFormat="1" applyFont="1" applyFill="1" applyBorder="1" applyAlignment="1">
      <alignment horizontal="center"/>
    </xf>
    <xf numFmtId="2" fontId="46" fillId="67" borderId="0" xfId="0" applyNumberFormat="1" applyFont="1" applyFill="1" applyAlignment="1">
      <alignment horizontal="center"/>
    </xf>
    <xf numFmtId="0" fontId="46" fillId="68" borderId="0" xfId="0" applyFont="1" applyFill="1"/>
    <xf numFmtId="0" fontId="46" fillId="68" borderId="34" xfId="0" applyFont="1" applyFill="1" applyBorder="1"/>
    <xf numFmtId="0" fontId="46" fillId="69" borderId="0" xfId="0" applyFont="1" applyFill="1"/>
    <xf numFmtId="0" fontId="46" fillId="69" borderId="34" xfId="0" applyFont="1" applyFill="1" applyBorder="1"/>
    <xf numFmtId="2" fontId="49" fillId="66" borderId="0" xfId="0" applyNumberFormat="1" applyFont="1" applyFill="1"/>
    <xf numFmtId="2" fontId="49" fillId="66" borderId="34" xfId="0" applyNumberFormat="1" applyFont="1" applyFill="1" applyBorder="1"/>
    <xf numFmtId="2" fontId="49" fillId="70" borderId="0" xfId="0" applyNumberFormat="1" applyFont="1" applyFill="1"/>
    <xf numFmtId="0" fontId="47" fillId="0" borderId="0" xfId="0" applyFont="1"/>
    <xf numFmtId="0" fontId="46" fillId="0" borderId="0" xfId="0" applyFont="1" applyAlignment="1">
      <alignment horizontal="center" vertical="center"/>
    </xf>
    <xf numFmtId="0" fontId="46" fillId="71" borderId="0" xfId="0" applyFont="1" applyFill="1" applyAlignment="1">
      <alignment horizontal="center" vertical="center"/>
    </xf>
    <xf numFmtId="165" fontId="51" fillId="68" borderId="45" xfId="0" applyNumberFormat="1" applyFont="1" applyFill="1" applyBorder="1" applyAlignment="1">
      <alignment horizontal="center" vertical="center"/>
    </xf>
    <xf numFmtId="165" fontId="51" fillId="68" borderId="0" xfId="0" applyNumberFormat="1" applyFont="1" applyFill="1" applyAlignment="1">
      <alignment horizontal="center" vertical="center"/>
    </xf>
    <xf numFmtId="165" fontId="51" fillId="68" borderId="34" xfId="0" applyNumberFormat="1" applyFont="1" applyFill="1" applyBorder="1" applyAlignment="1">
      <alignment horizontal="center" vertical="center"/>
    </xf>
    <xf numFmtId="166" fontId="50" fillId="69" borderId="0" xfId="0" applyNumberFormat="1" applyFont="1" applyFill="1" applyAlignment="1">
      <alignment horizontal="center" vertical="center"/>
    </xf>
    <xf numFmtId="166" fontId="50" fillId="69" borderId="34" xfId="0" applyNumberFormat="1" applyFont="1" applyFill="1" applyBorder="1" applyAlignment="1">
      <alignment horizontal="center" vertical="center"/>
    </xf>
    <xf numFmtId="166" fontId="49" fillId="66" borderId="0" xfId="0" applyNumberFormat="1" applyFont="1" applyFill="1" applyAlignment="1">
      <alignment horizontal="center" vertical="center"/>
    </xf>
    <xf numFmtId="166" fontId="49" fillId="66" borderId="34" xfId="0" applyNumberFormat="1" applyFont="1" applyFill="1" applyBorder="1" applyAlignment="1">
      <alignment horizontal="center" vertical="center"/>
    </xf>
    <xf numFmtId="166" fontId="52" fillId="66" borderId="0" xfId="0" applyNumberFormat="1" applyFont="1" applyFill="1" applyAlignment="1">
      <alignment horizontal="center" vertical="center"/>
    </xf>
    <xf numFmtId="166" fontId="52" fillId="66" borderId="34" xfId="0" applyNumberFormat="1" applyFont="1" applyFill="1" applyBorder="1" applyAlignment="1">
      <alignment horizontal="center" vertical="center"/>
    </xf>
    <xf numFmtId="166" fontId="52" fillId="70" borderId="0" xfId="0" applyNumberFormat="1" applyFont="1" applyFill="1" applyAlignment="1">
      <alignment horizontal="center" vertical="center"/>
    </xf>
    <xf numFmtId="167" fontId="50" fillId="0" borderId="0" xfId="0" applyNumberFormat="1" applyFont="1" applyAlignment="1">
      <alignment horizontal="center" vertical="center"/>
    </xf>
    <xf numFmtId="167" fontId="46" fillId="0" borderId="0" xfId="0" applyNumberFormat="1" applyFont="1" applyAlignment="1">
      <alignment horizontal="center" vertical="center"/>
    </xf>
    <xf numFmtId="0" fontId="46" fillId="72" borderId="0" xfId="0" applyFont="1" applyFill="1"/>
    <xf numFmtId="2" fontId="46" fillId="72" borderId="45" xfId="0" applyNumberFormat="1" applyFont="1" applyFill="1" applyBorder="1" applyAlignment="1">
      <alignment horizontal="center"/>
    </xf>
    <xf numFmtId="2" fontId="46" fillId="72" borderId="0" xfId="0" applyNumberFormat="1" applyFont="1" applyFill="1" applyAlignment="1">
      <alignment horizontal="center"/>
    </xf>
    <xf numFmtId="0" fontId="46" fillId="72" borderId="34" xfId="0" applyFont="1" applyFill="1" applyBorder="1"/>
    <xf numFmtId="2" fontId="49" fillId="72" borderId="0" xfId="0" applyNumberFormat="1" applyFont="1" applyFill="1"/>
    <xf numFmtId="2" fontId="49" fillId="72" borderId="34" xfId="0" applyNumberFormat="1" applyFont="1" applyFill="1" applyBorder="1"/>
    <xf numFmtId="0" fontId="46" fillId="7" borderId="0" xfId="0" applyFont="1" applyFill="1"/>
    <xf numFmtId="0" fontId="50" fillId="0" borderId="0" xfId="0" applyFont="1" applyAlignment="1">
      <alignment horizontal="left" vertical="center"/>
    </xf>
    <xf numFmtId="166" fontId="46" fillId="68" borderId="20" xfId="0" applyNumberFormat="1" applyFont="1" applyFill="1" applyBorder="1" applyAlignment="1">
      <alignment horizontal="center" vertical="center" wrapText="1"/>
    </xf>
    <xf numFmtId="166" fontId="46" fillId="68" borderId="0" xfId="0" applyNumberFormat="1" applyFont="1" applyFill="1" applyAlignment="1">
      <alignment horizontal="center" vertical="center" wrapText="1"/>
    </xf>
    <xf numFmtId="166" fontId="46" fillId="68" borderId="50" xfId="0" applyNumberFormat="1" applyFont="1" applyFill="1" applyBorder="1" applyAlignment="1">
      <alignment horizontal="center" wrapText="1"/>
    </xf>
    <xf numFmtId="166" fontId="46" fillId="68" borderId="1" xfId="0" applyNumberFormat="1" applyFont="1" applyFill="1" applyBorder="1" applyAlignment="1">
      <alignment horizontal="center" wrapText="1"/>
    </xf>
    <xf numFmtId="166" fontId="46" fillId="68" borderId="53" xfId="0" applyNumberFormat="1" applyFont="1" applyFill="1" applyBorder="1" applyAlignment="1">
      <alignment horizontal="center" wrapText="1"/>
    </xf>
    <xf numFmtId="166" fontId="46" fillId="68" borderId="31" xfId="0" applyNumberFormat="1" applyFont="1" applyFill="1" applyBorder="1" applyAlignment="1">
      <alignment vertical="center" wrapText="1"/>
    </xf>
    <xf numFmtId="166" fontId="46" fillId="68" borderId="45" xfId="0" applyNumberFormat="1" applyFont="1" applyFill="1" applyBorder="1" applyAlignment="1">
      <alignment wrapText="1"/>
    </xf>
    <xf numFmtId="166" fontId="46" fillId="68" borderId="0" xfId="0" applyNumberFormat="1" applyFont="1" applyFill="1" applyAlignment="1">
      <alignment wrapText="1"/>
    </xf>
    <xf numFmtId="166" fontId="46" fillId="72" borderId="45" xfId="0" applyNumberFormat="1" applyFont="1" applyFill="1" applyBorder="1"/>
    <xf numFmtId="166" fontId="46" fillId="72" borderId="0" xfId="0" applyNumberFormat="1" applyFont="1" applyFill="1"/>
    <xf numFmtId="166" fontId="46" fillId="68" borderId="45" xfId="0" applyNumberFormat="1" applyFont="1" applyFill="1" applyBorder="1"/>
    <xf numFmtId="166" fontId="46" fillId="68" borderId="0" xfId="0" applyNumberFormat="1" applyFont="1" applyFill="1"/>
    <xf numFmtId="166" fontId="50" fillId="68" borderId="45" xfId="0" applyNumberFormat="1" applyFont="1" applyFill="1" applyBorder="1" applyAlignment="1">
      <alignment horizontal="center" vertical="center"/>
    </xf>
    <xf numFmtId="166" fontId="50" fillId="68" borderId="0" xfId="0" applyNumberFormat="1" applyFont="1" applyFill="1" applyAlignment="1">
      <alignment horizontal="center" vertical="center"/>
    </xf>
    <xf numFmtId="166" fontId="0" fillId="0" borderId="0" xfId="0" applyNumberFormat="1"/>
    <xf numFmtId="1" fontId="46" fillId="71" borderId="0" xfId="0" applyNumberFormat="1" applyFont="1" applyFill="1" applyAlignment="1">
      <alignment horizontal="center" vertical="center"/>
    </xf>
    <xf numFmtId="166" fontId="50" fillId="68" borderId="34" xfId="0" applyNumberFormat="1" applyFont="1" applyFill="1" applyBorder="1" applyAlignment="1">
      <alignment horizontal="center" vertical="center"/>
    </xf>
    <xf numFmtId="166" fontId="46" fillId="72" borderId="34" xfId="0" applyNumberFormat="1" applyFont="1" applyFill="1" applyBorder="1"/>
    <xf numFmtId="166" fontId="46" fillId="68" borderId="34" xfId="0" applyNumberFormat="1" applyFont="1" applyFill="1" applyBorder="1"/>
    <xf numFmtId="166" fontId="46" fillId="72" borderId="20" xfId="0" applyNumberFormat="1" applyFont="1" applyFill="1" applyBorder="1"/>
    <xf numFmtId="166" fontId="46" fillId="68" borderId="20" xfId="0" applyNumberFormat="1" applyFont="1" applyFill="1" applyBorder="1"/>
    <xf numFmtId="166" fontId="50" fillId="68" borderId="20" xfId="0" applyNumberFormat="1" applyFont="1" applyFill="1" applyBorder="1" applyAlignment="1">
      <alignment horizontal="center" vertical="center"/>
    </xf>
    <xf numFmtId="166" fontId="46" fillId="68" borderId="34" xfId="0" applyNumberFormat="1" applyFont="1" applyFill="1" applyBorder="1" applyAlignment="1">
      <alignment wrapText="1"/>
    </xf>
    <xf numFmtId="166" fontId="46" fillId="68" borderId="20" xfId="0" applyNumberFormat="1" applyFont="1" applyFill="1" applyBorder="1" applyAlignment="1">
      <alignment wrapText="1"/>
    </xf>
    <xf numFmtId="166" fontId="46" fillId="67" borderId="45" xfId="0" applyNumberFormat="1" applyFont="1" applyFill="1" applyBorder="1" applyAlignment="1">
      <alignment horizontal="center" vertical="center"/>
    </xf>
    <xf numFmtId="166" fontId="46" fillId="67" borderId="0" xfId="0" applyNumberFormat="1" applyFont="1" applyFill="1" applyAlignment="1">
      <alignment horizontal="center" vertical="center"/>
    </xf>
    <xf numFmtId="166" fontId="46" fillId="72" borderId="45" xfId="0" applyNumberFormat="1" applyFont="1" applyFill="1" applyBorder="1" applyAlignment="1">
      <alignment horizontal="center"/>
    </xf>
    <xf numFmtId="166" fontId="46" fillId="72" borderId="0" xfId="0" applyNumberFormat="1" applyFont="1" applyFill="1" applyAlignment="1">
      <alignment horizontal="center"/>
    </xf>
    <xf numFmtId="166" fontId="46" fillId="67" borderId="45" xfId="0" applyNumberFormat="1" applyFont="1" applyFill="1" applyBorder="1" applyAlignment="1">
      <alignment horizontal="center"/>
    </xf>
    <xf numFmtId="166" fontId="46" fillId="67" borderId="0" xfId="0" applyNumberFormat="1" applyFont="1" applyFill="1" applyAlignment="1">
      <alignment horizontal="center"/>
    </xf>
    <xf numFmtId="168" fontId="0" fillId="0" borderId="28" xfId="0" applyNumberFormat="1" applyBorder="1" applyAlignment="1">
      <alignment horizontal="center" wrapText="1"/>
    </xf>
    <xf numFmtId="9" fontId="12" fillId="65" borderId="0" xfId="2" applyFont="1" applyFill="1" applyBorder="1"/>
    <xf numFmtId="2" fontId="14" fillId="65" borderId="34" xfId="0" applyNumberFormat="1" applyFont="1" applyFill="1" applyBorder="1"/>
    <xf numFmtId="0" fontId="0" fillId="65" borderId="34" xfId="0" applyFill="1" applyBorder="1"/>
    <xf numFmtId="2" fontId="11" fillId="65" borderId="34" xfId="0" applyNumberFormat="1" applyFont="1" applyFill="1" applyBorder="1" applyAlignment="1">
      <alignment horizontal="center"/>
    </xf>
    <xf numFmtId="2" fontId="14" fillId="65" borderId="34" xfId="0" applyNumberFormat="1" applyFont="1" applyFill="1" applyBorder="1" applyAlignment="1">
      <alignment horizontal="center"/>
    </xf>
    <xf numFmtId="2" fontId="0" fillId="65" borderId="34" xfId="0" applyNumberFormat="1" applyFill="1" applyBorder="1" applyAlignment="1">
      <alignment horizontal="center"/>
    </xf>
    <xf numFmtId="0" fontId="0" fillId="0" borderId="64" xfId="0" applyBorder="1"/>
    <xf numFmtId="168" fontId="0" fillId="0" borderId="65" xfId="0" applyNumberFormat="1" applyBorder="1"/>
    <xf numFmtId="168" fontId="0" fillId="0" borderId="66" xfId="0" applyNumberFormat="1" applyBorder="1"/>
    <xf numFmtId="166" fontId="46" fillId="0" borderId="45" xfId="0" applyNumberFormat="1" applyFont="1" applyBorder="1" applyAlignment="1">
      <alignment horizontal="center"/>
    </xf>
    <xf numFmtId="166" fontId="46" fillId="0" borderId="0" xfId="0" applyNumberFormat="1" applyFont="1" applyAlignment="1">
      <alignment horizontal="center"/>
    </xf>
    <xf numFmtId="166" fontId="46" fillId="0" borderId="45" xfId="0" applyNumberFormat="1" applyFont="1" applyBorder="1"/>
    <xf numFmtId="166" fontId="46" fillId="0" borderId="34" xfId="0" applyNumberFormat="1" applyFont="1" applyBorder="1"/>
    <xf numFmtId="166" fontId="46" fillId="0" borderId="0" xfId="0" applyNumberFormat="1" applyFont="1"/>
    <xf numFmtId="166" fontId="46" fillId="0" borderId="20" xfId="0" applyNumberFormat="1" applyFont="1" applyBorder="1"/>
    <xf numFmtId="0" fontId="46" fillId="0" borderId="34" xfId="0" applyFont="1" applyBorder="1"/>
    <xf numFmtId="2" fontId="49" fillId="0" borderId="0" xfId="0" applyNumberFormat="1" applyFont="1"/>
    <xf numFmtId="2" fontId="49" fillId="0" borderId="34" xfId="0" applyNumberFormat="1" applyFont="1" applyBorder="1"/>
    <xf numFmtId="0" fontId="53" fillId="0" borderId="0" xfId="0" applyFont="1"/>
    <xf numFmtId="168" fontId="0" fillId="0" borderId="27" xfId="0" applyNumberFormat="1" applyBorder="1" applyAlignment="1">
      <alignment horizontal="center"/>
    </xf>
    <xf numFmtId="2" fontId="46" fillId="0" borderId="45" xfId="0" applyNumberFormat="1" applyFont="1" applyBorder="1" applyAlignment="1">
      <alignment horizontal="center"/>
    </xf>
    <xf numFmtId="2" fontId="46" fillId="0" borderId="0" xfId="0" applyNumberFormat="1" applyFont="1" applyAlignment="1">
      <alignment horizontal="center"/>
    </xf>
    <xf numFmtId="4" fontId="50" fillId="0" borderId="0" xfId="0" applyNumberFormat="1" applyFont="1" applyAlignment="1">
      <alignment horizontal="left" vertical="center"/>
    </xf>
    <xf numFmtId="0" fontId="8" fillId="0" borderId="5" xfId="0" applyFont="1" applyBorder="1" applyAlignment="1">
      <alignment horizontal="center"/>
    </xf>
    <xf numFmtId="0" fontId="8" fillId="0" borderId="5" xfId="0" applyFont="1" applyBorder="1" applyAlignment="1">
      <alignment horizontal="center" wrapText="1"/>
    </xf>
    <xf numFmtId="0" fontId="0" fillId="0" borderId="5" xfId="0" applyBorder="1" applyAlignment="1">
      <alignment horizontal="center"/>
    </xf>
    <xf numFmtId="0" fontId="0" fillId="0" borderId="31" xfId="0" applyBorder="1" applyAlignment="1">
      <alignment horizontal="center" vertical="center" wrapText="1"/>
    </xf>
    <xf numFmtId="0" fontId="0" fillId="0" borderId="5" xfId="0" applyBorder="1" applyAlignment="1">
      <alignment horizontal="center" vertical="center" wrapText="1"/>
    </xf>
    <xf numFmtId="2" fontId="0" fillId="65" borderId="0" xfId="0" applyNumberFormat="1" applyFill="1" applyAlignment="1">
      <alignment horizontal="center" vertical="center"/>
    </xf>
    <xf numFmtId="2" fontId="8" fillId="65" borderId="45" xfId="0" applyNumberFormat="1" applyFont="1" applyFill="1" applyBorder="1" applyAlignment="1">
      <alignment horizontal="center" vertical="center" wrapText="1"/>
    </xf>
    <xf numFmtId="2" fontId="8" fillId="65" borderId="0" xfId="0" applyNumberFormat="1" applyFont="1" applyFill="1" applyAlignment="1">
      <alignment horizontal="center" vertical="center" wrapText="1"/>
    </xf>
    <xf numFmtId="16" fontId="12" fillId="65" borderId="0" xfId="2" applyNumberFormat="1" applyFont="1" applyFill="1" applyAlignment="1">
      <alignment horizontal="center"/>
    </xf>
    <xf numFmtId="16" fontId="12" fillId="65" borderId="0" xfId="2" quotePrefix="1" applyNumberFormat="1" applyFont="1" applyFill="1" applyAlignment="1">
      <alignment horizontal="center"/>
    </xf>
    <xf numFmtId="2" fontId="8" fillId="65" borderId="45" xfId="0" applyNumberFormat="1" applyFont="1" applyFill="1" applyBorder="1" applyAlignment="1">
      <alignment horizontal="center" wrapText="1"/>
    </xf>
    <xf numFmtId="2" fontId="8" fillId="65" borderId="0" xfId="0" applyNumberFormat="1" applyFont="1" applyFill="1" applyAlignment="1">
      <alignment horizontal="center" wrapText="1"/>
    </xf>
    <xf numFmtId="2" fontId="0" fillId="0" borderId="0" xfId="0" applyNumberFormat="1" applyAlignment="1">
      <alignment horizontal="center" vertical="center"/>
    </xf>
    <xf numFmtId="2" fontId="13" fillId="0" borderId="45" xfId="0" applyNumberFormat="1" applyFont="1" applyBorder="1" applyAlignment="1">
      <alignment horizontal="center" vertical="center" wrapText="1"/>
    </xf>
    <xf numFmtId="2" fontId="13" fillId="0" borderId="0" xfId="0" applyNumberFormat="1" applyFont="1" applyAlignment="1">
      <alignment horizontal="center" vertical="center" wrapText="1"/>
    </xf>
    <xf numFmtId="2" fontId="13" fillId="0" borderId="34" xfId="0" applyNumberFormat="1" applyFont="1" applyBorder="1" applyAlignment="1">
      <alignment horizontal="center" vertical="center" wrapText="1"/>
    </xf>
    <xf numFmtId="2" fontId="0" fillId="0" borderId="34" xfId="0" applyNumberFormat="1" applyBorder="1" applyAlignment="1">
      <alignment horizontal="center" vertical="center"/>
    </xf>
    <xf numFmtId="2" fontId="8" fillId="0" borderId="0" xfId="0" applyNumberFormat="1" applyFont="1" applyAlignment="1">
      <alignment horizontal="center" vertical="center" wrapText="1"/>
    </xf>
    <xf numFmtId="2" fontId="8" fillId="0" borderId="34" xfId="0" applyNumberFormat="1" applyFont="1" applyBorder="1" applyAlignment="1">
      <alignment horizontal="center" vertical="center" wrapText="1"/>
    </xf>
    <xf numFmtId="16" fontId="12" fillId="18" borderId="0" xfId="2" applyNumberFormat="1" applyFont="1" applyFill="1" applyAlignment="1">
      <alignment horizontal="center"/>
    </xf>
    <xf numFmtId="16" fontId="12" fillId="18" borderId="0" xfId="2" quotePrefix="1" applyNumberFormat="1" applyFont="1" applyFill="1" applyAlignment="1">
      <alignment horizontal="center"/>
    </xf>
    <xf numFmtId="16" fontId="12" fillId="8" borderId="0" xfId="2" applyNumberFormat="1" applyFont="1" applyFill="1" applyAlignment="1">
      <alignment horizontal="center"/>
    </xf>
    <xf numFmtId="16" fontId="12" fillId="0" borderId="0" xfId="2" applyNumberFormat="1" applyFont="1" applyFill="1" applyAlignment="1">
      <alignment horizontal="center"/>
    </xf>
    <xf numFmtId="9" fontId="0" fillId="0" borderId="34" xfId="0" applyNumberFormat="1" applyBorder="1" applyAlignment="1">
      <alignment horizontal="center" vertical="center"/>
    </xf>
    <xf numFmtId="2" fontId="11" fillId="65" borderId="0" xfId="0" applyNumberFormat="1" applyFont="1" applyFill="1" applyAlignment="1">
      <alignment horizontal="center" vertical="center"/>
    </xf>
    <xf numFmtId="0" fontId="0" fillId="0" borderId="0" xfId="0" applyAlignment="1">
      <alignment horizontal="center" wrapText="1"/>
    </xf>
    <xf numFmtId="16" fontId="12" fillId="0" borderId="0" xfId="2" quotePrefix="1" applyNumberFormat="1" applyFont="1" applyFill="1" applyAlignment="1">
      <alignment horizontal="center"/>
    </xf>
    <xf numFmtId="0" fontId="12" fillId="0" borderId="0" xfId="0" applyFont="1" applyAlignment="1">
      <alignment horizontal="right" vertical="center"/>
    </xf>
    <xf numFmtId="0" fontId="12" fillId="0" borderId="0" xfId="0" applyFont="1" applyAlignment="1">
      <alignment horizontal="center" wrapText="1"/>
    </xf>
    <xf numFmtId="2" fontId="11" fillId="0" borderId="0" xfId="0" applyNumberFormat="1" applyFont="1" applyAlignment="1">
      <alignment horizontal="center" vertical="center"/>
    </xf>
    <xf numFmtId="0" fontId="0" fillId="0" borderId="0" xfId="0" applyAlignment="1">
      <alignment horizontal="center" vertical="center" wrapText="1"/>
    </xf>
    <xf numFmtId="2" fontId="0" fillId="8" borderId="0" xfId="0" applyNumberFormat="1" applyFill="1" applyAlignment="1">
      <alignment horizontal="center" vertical="center"/>
    </xf>
    <xf numFmtId="9" fontId="0" fillId="8" borderId="34" xfId="0" applyNumberFormat="1" applyFill="1" applyBorder="1" applyAlignment="1">
      <alignment horizontal="center" vertical="center"/>
    </xf>
    <xf numFmtId="0" fontId="0" fillId="13" borderId="1" xfId="0" applyFill="1" applyBorder="1" applyAlignment="1">
      <alignment horizontal="center" wrapText="1"/>
    </xf>
    <xf numFmtId="0" fontId="0" fillId="20" borderId="0" xfId="0" applyFill="1" applyAlignment="1">
      <alignment horizontal="center" wrapText="1"/>
    </xf>
    <xf numFmtId="0" fontId="0" fillId="20" borderId="1" xfId="0" applyFill="1" applyBorder="1" applyAlignment="1">
      <alignment horizontal="center" wrapText="1"/>
    </xf>
    <xf numFmtId="0" fontId="0" fillId="5" borderId="1" xfId="0" applyFill="1" applyBorder="1" applyAlignment="1">
      <alignment horizontal="center" wrapText="1"/>
    </xf>
    <xf numFmtId="0" fontId="0" fillId="5" borderId="0" xfId="0" applyFill="1" applyAlignment="1">
      <alignment horizontal="center"/>
    </xf>
    <xf numFmtId="0" fontId="0" fillId="19" borderId="0" xfId="0" applyFill="1" applyAlignment="1">
      <alignment horizontal="center" wrapText="1"/>
    </xf>
    <xf numFmtId="0" fontId="0" fillId="19" borderId="1" xfId="0" applyFill="1" applyBorder="1" applyAlignment="1">
      <alignment horizontal="center" wrapText="1"/>
    </xf>
    <xf numFmtId="0" fontId="0" fillId="2" borderId="0" xfId="0" applyFill="1" applyAlignment="1">
      <alignment horizontal="center"/>
    </xf>
    <xf numFmtId="0" fontId="0" fillId="3" borderId="0" xfId="0" applyFill="1" applyAlignment="1">
      <alignment horizontal="center"/>
    </xf>
    <xf numFmtId="0" fontId="0" fillId="8" borderId="0" xfId="0" applyFill="1" applyAlignment="1">
      <alignment horizontal="center"/>
    </xf>
    <xf numFmtId="0" fontId="0" fillId="21" borderId="1" xfId="0" applyFill="1" applyBorder="1" applyAlignment="1">
      <alignment horizontal="center" wrapText="1"/>
    </xf>
    <xf numFmtId="0" fontId="0" fillId="7" borderId="0" xfId="0" applyFill="1" applyAlignment="1">
      <alignment horizontal="center" vertical="center"/>
    </xf>
    <xf numFmtId="16" fontId="12" fillId="8" borderId="0" xfId="2" quotePrefix="1" applyNumberFormat="1" applyFont="1" applyFill="1" applyAlignment="1">
      <alignment horizontal="center"/>
    </xf>
    <xf numFmtId="0" fontId="46" fillId="67" borderId="45" xfId="0" applyFont="1" applyFill="1" applyBorder="1" applyAlignment="1">
      <alignment horizontal="center" vertical="center"/>
    </xf>
    <xf numFmtId="0" fontId="46" fillId="67" borderId="0" xfId="0" applyFont="1" applyFill="1" applyAlignment="1">
      <alignment horizontal="center" vertical="center"/>
    </xf>
    <xf numFmtId="166" fontId="46" fillId="68" borderId="45" xfId="0" applyNumberFormat="1" applyFont="1" applyFill="1" applyBorder="1" applyAlignment="1">
      <alignment horizontal="center" vertical="center" wrapText="1"/>
    </xf>
    <xf numFmtId="166" fontId="46" fillId="68" borderId="34" xfId="0" applyNumberFormat="1" applyFont="1" applyFill="1" applyBorder="1" applyAlignment="1">
      <alignment horizontal="center" vertical="center" wrapText="1"/>
    </xf>
    <xf numFmtId="0" fontId="46" fillId="70" borderId="45" xfId="0" applyFont="1" applyFill="1" applyBorder="1" applyAlignment="1">
      <alignment horizontal="center" wrapText="1"/>
    </xf>
    <xf numFmtId="0" fontId="46" fillId="70" borderId="0" xfId="0" applyFont="1" applyFill="1" applyAlignment="1">
      <alignment horizontal="center" wrapText="1"/>
    </xf>
    <xf numFmtId="0" fontId="46" fillId="66" borderId="45" xfId="0" applyFont="1" applyFill="1" applyBorder="1" applyAlignment="1">
      <alignment horizontal="center" vertical="center" wrapText="1"/>
    </xf>
    <xf numFmtId="0" fontId="46" fillId="66" borderId="0" xfId="0" applyFont="1" applyFill="1" applyAlignment="1">
      <alignment horizontal="center" vertical="center" wrapText="1"/>
    </xf>
    <xf numFmtId="0" fontId="46" fillId="66" borderId="34" xfId="0" applyFont="1" applyFill="1" applyBorder="1" applyAlignment="1">
      <alignment horizontal="center" vertical="center" wrapText="1"/>
    </xf>
    <xf numFmtId="0" fontId="12" fillId="0" borderId="0" xfId="0" applyFont="1" applyAlignment="1">
      <alignment horizontal="center"/>
    </xf>
    <xf numFmtId="0" fontId="0" fillId="8" borderId="45" xfId="0" applyFill="1" applyBorder="1" applyAlignment="1">
      <alignment horizontal="center"/>
    </xf>
    <xf numFmtId="0" fontId="0" fillId="5" borderId="0" xfId="0" applyFill="1" applyAlignment="1">
      <alignment horizontal="center" vertical="center" wrapText="1"/>
    </xf>
    <xf numFmtId="0" fontId="0" fillId="5" borderId="1" xfId="0" applyFill="1" applyBorder="1" applyAlignment="1">
      <alignment horizontal="center" vertical="center" wrapText="1"/>
    </xf>
    <xf numFmtId="2" fontId="0" fillId="0" borderId="5" xfId="0" applyNumberFormat="1" applyBorder="1" applyAlignment="1">
      <alignment horizontal="left" vertical="center"/>
    </xf>
    <xf numFmtId="0" fontId="8" fillId="0" borderId="0" xfId="0" applyFont="1"/>
    <xf numFmtId="0" fontId="0" fillId="0" borderId="32" xfId="0" applyBorder="1" applyAlignment="1">
      <alignment horizontal="center" wrapText="1"/>
    </xf>
    <xf numFmtId="9" fontId="15" fillId="8" borderId="23" xfId="0" applyNumberFormat="1" applyFont="1" applyFill="1" applyBorder="1" applyAlignment="1">
      <alignment horizontal="center" vertical="center" wrapText="1"/>
    </xf>
    <xf numFmtId="9" fontId="15" fillId="8" borderId="20" xfId="0" applyNumberFormat="1" applyFont="1" applyFill="1" applyBorder="1" applyAlignment="1">
      <alignment horizontal="center" vertical="center" wrapText="1"/>
    </xf>
    <xf numFmtId="9" fontId="15" fillId="8" borderId="9" xfId="0" applyNumberFormat="1" applyFont="1" applyFill="1" applyBorder="1" applyAlignment="1">
      <alignment horizontal="center" vertical="center" wrapText="1"/>
    </xf>
    <xf numFmtId="9" fontId="15" fillId="8" borderId="46" xfId="0" applyNumberFormat="1" applyFont="1" applyFill="1" applyBorder="1" applyAlignment="1">
      <alignment horizontal="center" vertical="center" wrapText="1"/>
    </xf>
    <xf numFmtId="0" fontId="15" fillId="0" borderId="34" xfId="0" applyFont="1" applyBorder="1" applyAlignment="1">
      <alignment horizontal="left" vertical="center" wrapText="1"/>
    </xf>
    <xf numFmtId="9" fontId="15" fillId="8" borderId="18" xfId="0" applyNumberFormat="1" applyFont="1" applyFill="1" applyBorder="1" applyAlignment="1">
      <alignment horizontal="center" vertical="center" wrapText="1"/>
    </xf>
    <xf numFmtId="9" fontId="0" fillId="0" borderId="0" xfId="0" applyNumberFormat="1" applyAlignment="1">
      <alignment horizontal="center" vertical="center"/>
    </xf>
    <xf numFmtId="9" fontId="0" fillId="11" borderId="28" xfId="0" applyNumberFormat="1" applyFill="1" applyBorder="1" applyAlignment="1">
      <alignment horizontal="center"/>
    </xf>
    <xf numFmtId="0" fontId="15" fillId="0" borderId="8" xfId="0" applyFont="1" applyBorder="1" applyAlignment="1">
      <alignment horizontal="left" vertical="center" wrapText="1"/>
    </xf>
    <xf numFmtId="0" fontId="8" fillId="0" borderId="0" xfId="0" applyFont="1"/>
    <xf numFmtId="0" fontId="0" fillId="0" borderId="0" xfId="0"/>
    <xf numFmtId="0" fontId="8" fillId="0" borderId="8" xfId="0" applyFont="1" applyBorder="1" applyAlignment="1">
      <alignment vertical="center" wrapText="1"/>
    </xf>
    <xf numFmtId="0" fontId="8" fillId="0" borderId="21" xfId="0" applyFont="1" applyBorder="1" applyAlignment="1">
      <alignment vertical="center" wrapText="1"/>
    </xf>
    <xf numFmtId="0" fontId="8" fillId="0" borderId="2" xfId="0" applyFont="1" applyBorder="1" applyAlignment="1">
      <alignment vertical="center" wrapText="1"/>
    </xf>
    <xf numFmtId="0" fontId="8" fillId="0" borderId="17" xfId="0" applyFont="1" applyBorder="1" applyAlignment="1">
      <alignment vertical="center" wrapText="1"/>
    </xf>
    <xf numFmtId="0" fontId="8" fillId="0" borderId="5" xfId="0" applyFont="1" applyBorder="1" applyAlignment="1">
      <alignment horizontal="center" vertical="center" wrapText="1"/>
    </xf>
    <xf numFmtId="3" fontId="8" fillId="0" borderId="11" xfId="0" applyNumberFormat="1" applyFont="1" applyBorder="1" applyAlignment="1">
      <alignment horizontal="center" vertical="center"/>
    </xf>
    <xf numFmtId="3" fontId="8" fillId="0" borderId="50" xfId="0" applyNumberFormat="1" applyFont="1" applyBorder="1" applyAlignment="1">
      <alignment horizontal="center" vertical="center"/>
    </xf>
    <xf numFmtId="0" fontId="8" fillId="0" borderId="5" xfId="0" applyFont="1" applyBorder="1" applyAlignment="1">
      <alignment horizontal="center" vertical="center"/>
    </xf>
    <xf numFmtId="0" fontId="8" fillId="0" borderId="44" xfId="0" applyFont="1" applyBorder="1" applyAlignment="1">
      <alignment horizontal="center" wrapText="1"/>
    </xf>
    <xf numFmtId="0" fontId="8" fillId="0" borderId="40" xfId="0" applyFont="1" applyBorder="1" applyAlignment="1">
      <alignment horizontal="center" wrapText="1"/>
    </xf>
    <xf numFmtId="0" fontId="8" fillId="0" borderId="43" xfId="0" applyFont="1" applyBorder="1" applyAlignment="1">
      <alignment horizontal="center" wrapText="1"/>
    </xf>
    <xf numFmtId="3" fontId="8" fillId="0" borderId="6" xfId="0" applyNumberFormat="1" applyFont="1" applyBorder="1" applyAlignment="1">
      <alignment horizontal="center"/>
    </xf>
    <xf numFmtId="3" fontId="8" fillId="0" borderId="31" xfId="0" applyNumberFormat="1" applyFont="1" applyBorder="1" applyAlignment="1">
      <alignment horizontal="center"/>
    </xf>
    <xf numFmtId="3" fontId="0" fillId="0" borderId="5" xfId="0" applyNumberFormat="1" applyBorder="1" applyAlignment="1">
      <alignment horizontal="center" vertical="center"/>
    </xf>
    <xf numFmtId="0" fontId="8" fillId="0" borderId="5" xfId="0" applyFont="1" applyBorder="1" applyAlignment="1">
      <alignment horizontal="center"/>
    </xf>
    <xf numFmtId="0" fontId="8" fillId="0" borderId="5" xfId="0" applyFont="1" applyBorder="1" applyAlignment="1">
      <alignment horizontal="center" wrapText="1"/>
    </xf>
    <xf numFmtId="0" fontId="0" fillId="0" borderId="8" xfId="0" applyBorder="1" applyAlignment="1">
      <alignment horizontal="center" vertical="center" wrapText="1"/>
    </xf>
    <xf numFmtId="0" fontId="0" fillId="0" borderId="21" xfId="0" applyBorder="1" applyAlignment="1">
      <alignment horizontal="center" vertical="center" wrapText="1"/>
    </xf>
    <xf numFmtId="0" fontId="0" fillId="0" borderId="17" xfId="0" applyBorder="1" applyAlignment="1">
      <alignment horizontal="center" vertical="center" wrapText="1"/>
    </xf>
    <xf numFmtId="49" fontId="20" fillId="6" borderId="11" xfId="0" applyNumberFormat="1" applyFont="1" applyFill="1" applyBorder="1" applyAlignment="1">
      <alignment horizontal="left" wrapText="1"/>
    </xf>
    <xf numFmtId="49" fontId="20" fillId="6" borderId="10" xfId="0" applyNumberFormat="1" applyFont="1" applyFill="1" applyBorder="1" applyAlignment="1">
      <alignment horizontal="left" wrapText="1"/>
    </xf>
    <xf numFmtId="0" fontId="0" fillId="0" borderId="5" xfId="0" applyBorder="1" applyAlignment="1">
      <alignment horizontal="center"/>
    </xf>
    <xf numFmtId="0" fontId="0" fillId="0" borderId="31" xfId="0" applyBorder="1" applyAlignment="1">
      <alignment horizontal="center" vertical="center" wrapText="1"/>
    </xf>
    <xf numFmtId="0" fontId="0" fillId="0" borderId="5" xfId="0" applyBorder="1" applyAlignment="1">
      <alignment horizontal="center" vertical="center" wrapText="1"/>
    </xf>
    <xf numFmtId="2" fontId="0" fillId="65" borderId="34" xfId="0" applyNumberFormat="1" applyFill="1" applyBorder="1" applyAlignment="1">
      <alignment horizontal="center" vertical="center"/>
    </xf>
    <xf numFmtId="2" fontId="0" fillId="65" borderId="0" xfId="0" applyNumberFormat="1" applyFill="1" applyAlignment="1">
      <alignment horizontal="center" vertical="center"/>
    </xf>
    <xf numFmtId="2" fontId="8" fillId="65" borderId="45" xfId="0" applyNumberFormat="1" applyFont="1" applyFill="1" applyBorder="1" applyAlignment="1">
      <alignment horizontal="center" vertical="center" wrapText="1"/>
    </xf>
    <xf numFmtId="2" fontId="8" fillId="65" borderId="0" xfId="0" applyNumberFormat="1" applyFont="1" applyFill="1" applyAlignment="1">
      <alignment horizontal="center" vertical="center" wrapText="1"/>
    </xf>
    <xf numFmtId="2" fontId="8" fillId="65" borderId="34" xfId="0" applyNumberFormat="1" applyFont="1" applyFill="1" applyBorder="1" applyAlignment="1">
      <alignment horizontal="center" vertical="center" wrapText="1"/>
    </xf>
    <xf numFmtId="16" fontId="12" fillId="65" borderId="0" xfId="2" applyNumberFormat="1" applyFont="1" applyFill="1" applyAlignment="1">
      <alignment horizontal="center"/>
    </xf>
    <xf numFmtId="16" fontId="12" fillId="65" borderId="0" xfId="2" quotePrefix="1" applyNumberFormat="1" applyFont="1" applyFill="1" applyAlignment="1">
      <alignment horizontal="center"/>
    </xf>
    <xf numFmtId="2" fontId="8" fillId="65" borderId="45" xfId="0" applyNumberFormat="1" applyFont="1" applyFill="1" applyBorder="1" applyAlignment="1">
      <alignment horizontal="center" wrapText="1"/>
    </xf>
    <xf numFmtId="2" fontId="8" fillId="65" borderId="0" xfId="0" applyNumberFormat="1" applyFont="1" applyFill="1" applyAlignment="1">
      <alignment horizontal="center" wrapText="1"/>
    </xf>
    <xf numFmtId="9" fontId="0" fillId="65" borderId="34" xfId="0" applyNumberFormat="1" applyFill="1" applyBorder="1" applyAlignment="1">
      <alignment horizontal="center" vertical="center"/>
    </xf>
    <xf numFmtId="2" fontId="0" fillId="0" borderId="0" xfId="0" applyNumberFormat="1" applyAlignment="1">
      <alignment horizontal="center" vertical="center"/>
    </xf>
    <xf numFmtId="2" fontId="13" fillId="0" borderId="45" xfId="0" applyNumberFormat="1" applyFont="1" applyBorder="1" applyAlignment="1">
      <alignment horizontal="center" vertical="center" wrapText="1"/>
    </xf>
    <xf numFmtId="2" fontId="13" fillId="0" borderId="0" xfId="0" applyNumberFormat="1" applyFont="1" applyAlignment="1">
      <alignment horizontal="center" vertical="center" wrapText="1"/>
    </xf>
    <xf numFmtId="2" fontId="13" fillId="0" borderId="34" xfId="0" applyNumberFormat="1" applyFont="1" applyBorder="1" applyAlignment="1">
      <alignment horizontal="center" vertical="center" wrapText="1"/>
    </xf>
    <xf numFmtId="2" fontId="0" fillId="0" borderId="34" xfId="0" applyNumberFormat="1" applyBorder="1" applyAlignment="1">
      <alignment horizontal="center" vertical="center"/>
    </xf>
    <xf numFmtId="2" fontId="8" fillId="0" borderId="45" xfId="0" applyNumberFormat="1" applyFont="1" applyBorder="1" applyAlignment="1">
      <alignment horizontal="center" vertical="center" wrapText="1"/>
    </xf>
    <xf numFmtId="2" fontId="8" fillId="0" borderId="0" xfId="0" applyNumberFormat="1" applyFont="1" applyAlignment="1">
      <alignment horizontal="center" vertical="center" wrapText="1"/>
    </xf>
    <xf numFmtId="2" fontId="8" fillId="0" borderId="34" xfId="0" applyNumberFormat="1" applyFont="1" applyBorder="1" applyAlignment="1">
      <alignment horizontal="center" vertical="center" wrapText="1"/>
    </xf>
    <xf numFmtId="16" fontId="12" fillId="18" borderId="0" xfId="2" applyNumberFormat="1" applyFont="1" applyFill="1" applyAlignment="1">
      <alignment horizontal="center"/>
    </xf>
    <xf numFmtId="16" fontId="12" fillId="18" borderId="0" xfId="2" quotePrefix="1" applyNumberFormat="1" applyFont="1" applyFill="1" applyAlignment="1">
      <alignment horizontal="center"/>
    </xf>
    <xf numFmtId="16" fontId="12" fillId="8" borderId="0" xfId="2" applyNumberFormat="1" applyFont="1" applyFill="1" applyAlignment="1">
      <alignment horizontal="center"/>
    </xf>
    <xf numFmtId="16" fontId="12" fillId="0" borderId="0" xfId="2" applyNumberFormat="1" applyFont="1" applyFill="1" applyAlignment="1">
      <alignment horizontal="center"/>
    </xf>
    <xf numFmtId="9" fontId="0" fillId="0" borderId="34" xfId="0" applyNumberFormat="1" applyBorder="1" applyAlignment="1">
      <alignment horizontal="center" vertical="center"/>
    </xf>
    <xf numFmtId="2" fontId="11" fillId="65" borderId="0" xfId="0" applyNumberFormat="1" applyFont="1" applyFill="1" applyAlignment="1">
      <alignment horizontal="center" vertical="center"/>
    </xf>
    <xf numFmtId="9" fontId="0" fillId="65" borderId="0" xfId="0" applyNumberFormat="1" applyFill="1" applyAlignment="1">
      <alignment horizontal="center" vertical="center"/>
    </xf>
    <xf numFmtId="0" fontId="0" fillId="0" borderId="0" xfId="0" applyAlignment="1">
      <alignment horizontal="center" wrapText="1"/>
    </xf>
    <xf numFmtId="16" fontId="12" fillId="0" borderId="0" xfId="2" quotePrefix="1" applyNumberFormat="1" applyFont="1" applyFill="1" applyAlignment="1">
      <alignment horizontal="center"/>
    </xf>
    <xf numFmtId="0" fontId="12" fillId="0" borderId="0" xfId="0" applyFont="1" applyAlignment="1">
      <alignment horizontal="right" vertical="center"/>
    </xf>
    <xf numFmtId="10" fontId="0" fillId="0" borderId="34" xfId="0" applyNumberFormat="1" applyBorder="1" applyAlignment="1">
      <alignment horizontal="center" vertical="center"/>
    </xf>
    <xf numFmtId="0" fontId="12" fillId="0" borderId="0" xfId="0" applyFont="1" applyAlignment="1">
      <alignment horizontal="center" wrapText="1"/>
    </xf>
    <xf numFmtId="166" fontId="0" fillId="0" borderId="34" xfId="0" applyNumberFormat="1" applyBorder="1" applyAlignment="1">
      <alignment horizontal="center" vertical="center"/>
    </xf>
    <xf numFmtId="2" fontId="11" fillId="0" borderId="0" xfId="0" applyNumberFormat="1" applyFont="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wrapText="1"/>
    </xf>
    <xf numFmtId="0" fontId="0" fillId="8" borderId="0" xfId="0" applyFill="1"/>
    <xf numFmtId="2" fontId="8" fillId="8" borderId="34" xfId="0" applyNumberFormat="1" applyFont="1" applyFill="1" applyBorder="1" applyAlignment="1">
      <alignment horizontal="center" vertical="center" wrapText="1"/>
    </xf>
    <xf numFmtId="2" fontId="0" fillId="8" borderId="34" xfId="0" applyNumberFormat="1" applyFill="1" applyBorder="1" applyAlignment="1">
      <alignment horizontal="center" vertical="center"/>
    </xf>
    <xf numFmtId="2" fontId="0" fillId="8" borderId="0" xfId="0" applyNumberFormat="1" applyFill="1" applyAlignment="1">
      <alignment horizontal="center" vertical="center"/>
    </xf>
    <xf numFmtId="9" fontId="0" fillId="8" borderId="34" xfId="0" applyNumberFormat="1" applyFill="1" applyBorder="1" applyAlignment="1">
      <alignment horizontal="center" vertical="center"/>
    </xf>
    <xf numFmtId="0" fontId="0" fillId="13" borderId="0" xfId="0" applyFill="1" applyAlignment="1">
      <alignment horizontal="center" wrapText="1"/>
    </xf>
    <xf numFmtId="0" fontId="0" fillId="13" borderId="1" xfId="0" applyFill="1" applyBorder="1" applyAlignment="1">
      <alignment horizontal="center" wrapText="1"/>
    </xf>
    <xf numFmtId="0" fontId="0" fillId="30" borderId="0" xfId="0" applyFill="1" applyAlignment="1">
      <alignment horizontal="center" vertical="center" wrapText="1"/>
    </xf>
    <xf numFmtId="0" fontId="0" fillId="20" borderId="0" xfId="0" applyFill="1" applyAlignment="1">
      <alignment horizontal="center" wrapText="1"/>
    </xf>
    <xf numFmtId="0" fontId="0" fillId="20" borderId="1" xfId="0" applyFill="1" applyBorder="1" applyAlignment="1">
      <alignment horizontal="center" wrapText="1"/>
    </xf>
    <xf numFmtId="0" fontId="0" fillId="14" borderId="0" xfId="0" applyFill="1" applyAlignment="1">
      <alignment horizontal="center" vertical="center" wrapText="1"/>
    </xf>
    <xf numFmtId="0" fontId="0" fillId="5" borderId="0" xfId="0" applyFill="1" applyAlignment="1">
      <alignment horizontal="center" wrapText="1"/>
    </xf>
    <xf numFmtId="0" fontId="0" fillId="5" borderId="1" xfId="0" applyFill="1" applyBorder="1" applyAlignment="1">
      <alignment horizontal="center" wrapText="1"/>
    </xf>
    <xf numFmtId="0" fontId="0" fillId="5" borderId="0" xfId="0" applyFill="1" applyAlignment="1">
      <alignment horizontal="center"/>
    </xf>
    <xf numFmtId="0" fontId="0" fillId="22" borderId="0" xfId="0" applyFill="1" applyAlignment="1">
      <alignment horizontal="center" wrapText="1"/>
    </xf>
    <xf numFmtId="0" fontId="0" fillId="22" borderId="1" xfId="0" applyFill="1" applyBorder="1" applyAlignment="1">
      <alignment horizontal="center" wrapText="1"/>
    </xf>
    <xf numFmtId="0" fontId="0" fillId="19" borderId="0" xfId="0" applyFill="1" applyAlignment="1">
      <alignment horizontal="center" wrapText="1"/>
    </xf>
    <xf numFmtId="0" fontId="0" fillId="19" borderId="1" xfId="0" applyFill="1" applyBorder="1" applyAlignment="1">
      <alignment horizontal="center" wrapText="1"/>
    </xf>
    <xf numFmtId="0" fontId="0" fillId="2" borderId="0" xfId="0" applyFill="1" applyAlignment="1">
      <alignment horizontal="center"/>
    </xf>
    <xf numFmtId="0" fontId="0" fillId="3" borderId="0" xfId="0" applyFill="1" applyAlignment="1">
      <alignment horizontal="center"/>
    </xf>
    <xf numFmtId="0" fontId="0" fillId="9" borderId="0" xfId="0" applyFill="1" applyAlignment="1">
      <alignment horizontal="center" wrapText="1"/>
    </xf>
    <xf numFmtId="0" fontId="0" fillId="8" borderId="0" xfId="0" applyFill="1" applyAlignment="1">
      <alignment horizontal="center"/>
    </xf>
    <xf numFmtId="0" fontId="0" fillId="21" borderId="0" xfId="0" applyFill="1" applyAlignment="1">
      <alignment horizontal="center" wrapText="1"/>
    </xf>
    <xf numFmtId="0" fontId="0" fillId="21" borderId="1" xfId="0" applyFill="1" applyBorder="1" applyAlignment="1">
      <alignment horizontal="center" wrapText="1"/>
    </xf>
    <xf numFmtId="0" fontId="0" fillId="32" borderId="0" xfId="0" applyFill="1" applyAlignment="1">
      <alignment horizontal="center" wrapText="1"/>
    </xf>
    <xf numFmtId="0" fontId="0" fillId="32" borderId="1" xfId="0" applyFill="1" applyBorder="1" applyAlignment="1">
      <alignment horizontal="center" wrapText="1"/>
    </xf>
    <xf numFmtId="0" fontId="0" fillId="10" borderId="0" xfId="0" applyFill="1" applyAlignment="1">
      <alignment horizontal="center" vertical="center" wrapText="1"/>
    </xf>
    <xf numFmtId="0" fontId="0" fillId="23" borderId="0" xfId="0" applyFill="1" applyAlignment="1">
      <alignment horizontal="center" vertical="center" wrapText="1"/>
    </xf>
    <xf numFmtId="0" fontId="0" fillId="7" borderId="0" xfId="0" applyFill="1" applyAlignment="1">
      <alignment horizontal="center" vertical="center"/>
    </xf>
    <xf numFmtId="0" fontId="0" fillId="33" borderId="0" xfId="0" applyFill="1" applyAlignment="1">
      <alignment horizontal="center" vertical="center" wrapText="1"/>
    </xf>
    <xf numFmtId="0" fontId="0" fillId="31" borderId="0" xfId="0" applyFill="1" applyAlignment="1">
      <alignment horizontal="center" vertical="center" wrapText="1"/>
    </xf>
    <xf numFmtId="2" fontId="8" fillId="8" borderId="0" xfId="0" applyNumberFormat="1" applyFont="1" applyFill="1" applyAlignment="1">
      <alignment horizontal="center" vertical="center" wrapText="1"/>
    </xf>
    <xf numFmtId="2" fontId="8" fillId="8" borderId="45" xfId="0" applyNumberFormat="1" applyFont="1" applyFill="1" applyBorder="1" applyAlignment="1">
      <alignment horizontal="center" vertical="center" wrapText="1"/>
    </xf>
    <xf numFmtId="0" fontId="0" fillId="0" borderId="45" xfId="0" applyBorder="1" applyAlignment="1">
      <alignment horizontal="center" vertical="center" wrapText="1"/>
    </xf>
    <xf numFmtId="0" fontId="0" fillId="0" borderId="34" xfId="0" applyBorder="1" applyAlignment="1">
      <alignment horizontal="center" vertical="center" wrapText="1"/>
    </xf>
    <xf numFmtId="16" fontId="12" fillId="8" borderId="0" xfId="2" quotePrefix="1" applyNumberFormat="1" applyFont="1" applyFill="1" applyAlignment="1">
      <alignment horizontal="center"/>
    </xf>
    <xf numFmtId="0" fontId="46" fillId="67" borderId="45" xfId="0" applyFont="1" applyFill="1" applyBorder="1" applyAlignment="1">
      <alignment horizontal="center" vertical="center"/>
    </xf>
    <xf numFmtId="0" fontId="46" fillId="67" borderId="0" xfId="0" applyFont="1" applyFill="1" applyAlignment="1">
      <alignment horizontal="center" vertical="center"/>
    </xf>
    <xf numFmtId="166" fontId="46" fillId="68" borderId="45" xfId="0" applyNumberFormat="1" applyFont="1" applyFill="1" applyBorder="1" applyAlignment="1">
      <alignment horizontal="center" vertical="center" wrapText="1"/>
    </xf>
    <xf numFmtId="166" fontId="46" fillId="68" borderId="34" xfId="0" applyNumberFormat="1" applyFont="1" applyFill="1" applyBorder="1" applyAlignment="1">
      <alignment horizontal="center" vertical="center" wrapText="1"/>
    </xf>
    <xf numFmtId="0" fontId="47" fillId="68" borderId="0" xfId="0" applyFont="1" applyFill="1" applyAlignment="1">
      <alignment horizontal="center"/>
    </xf>
    <xf numFmtId="0" fontId="46" fillId="69" borderId="45" xfId="0" applyFont="1" applyFill="1" applyBorder="1" applyAlignment="1">
      <alignment horizontal="center" wrapText="1"/>
    </xf>
    <xf numFmtId="0" fontId="46" fillId="69" borderId="0" xfId="0" applyFont="1" applyFill="1" applyAlignment="1">
      <alignment horizontal="center" wrapText="1"/>
    </xf>
    <xf numFmtId="0" fontId="46" fillId="69" borderId="34" xfId="0" applyFont="1" applyFill="1" applyBorder="1" applyAlignment="1">
      <alignment horizontal="center" wrapText="1"/>
    </xf>
    <xf numFmtId="0" fontId="47" fillId="67" borderId="11" xfId="0" applyFont="1" applyFill="1" applyBorder="1" applyAlignment="1">
      <alignment horizontal="center"/>
    </xf>
    <xf numFmtId="0" fontId="47" fillId="67" borderId="35" xfId="0" applyFont="1" applyFill="1" applyBorder="1" applyAlignment="1">
      <alignment horizontal="center"/>
    </xf>
    <xf numFmtId="0" fontId="47" fillId="67" borderId="10" xfId="0" applyFont="1" applyFill="1" applyBorder="1" applyAlignment="1">
      <alignment horizontal="center"/>
    </xf>
    <xf numFmtId="0" fontId="47" fillId="68" borderId="11" xfId="0" applyFont="1" applyFill="1" applyBorder="1" applyAlignment="1">
      <alignment horizontal="center" wrapText="1"/>
    </xf>
    <xf numFmtId="0" fontId="47" fillId="68" borderId="35" xfId="0" applyFont="1" applyFill="1" applyBorder="1" applyAlignment="1">
      <alignment horizontal="center" wrapText="1"/>
    </xf>
    <xf numFmtId="0" fontId="47" fillId="68" borderId="10" xfId="0" applyFont="1" applyFill="1" applyBorder="1" applyAlignment="1">
      <alignment horizontal="center" wrapText="1"/>
    </xf>
    <xf numFmtId="0" fontId="47" fillId="69" borderId="11" xfId="0" applyFont="1" applyFill="1" applyBorder="1" applyAlignment="1">
      <alignment horizontal="center" wrapText="1"/>
    </xf>
    <xf numFmtId="0" fontId="47" fillId="69" borderId="35" xfId="0" applyFont="1" applyFill="1" applyBorder="1" applyAlignment="1">
      <alignment horizontal="center" wrapText="1"/>
    </xf>
    <xf numFmtId="0" fontId="47" fillId="69" borderId="10" xfId="0" applyFont="1" applyFill="1" applyBorder="1" applyAlignment="1">
      <alignment horizontal="center" wrapText="1"/>
    </xf>
    <xf numFmtId="0" fontId="47" fillId="66" borderId="11" xfId="0" applyFont="1" applyFill="1" applyBorder="1" applyAlignment="1">
      <alignment horizontal="center"/>
    </xf>
    <xf numFmtId="0" fontId="47" fillId="66" borderId="35" xfId="0" applyFont="1" applyFill="1" applyBorder="1" applyAlignment="1">
      <alignment horizontal="center"/>
    </xf>
    <xf numFmtId="0" fontId="47" fillId="66" borderId="10" xfId="0" applyFont="1" applyFill="1" applyBorder="1" applyAlignment="1">
      <alignment horizontal="center"/>
    </xf>
    <xf numFmtId="0" fontId="47" fillId="70" borderId="11" xfId="0" applyFont="1" applyFill="1" applyBorder="1" applyAlignment="1">
      <alignment horizontal="center" wrapText="1"/>
    </xf>
    <xf numFmtId="0" fontId="47" fillId="70" borderId="35" xfId="0" applyFont="1" applyFill="1" applyBorder="1" applyAlignment="1">
      <alignment horizontal="center" wrapText="1"/>
    </xf>
    <xf numFmtId="0" fontId="47" fillId="66" borderId="0" xfId="0" applyFont="1" applyFill="1" applyAlignment="1">
      <alignment horizontal="center" vertical="center" wrapText="1"/>
    </xf>
    <xf numFmtId="0" fontId="47" fillId="66" borderId="34" xfId="0" applyFont="1" applyFill="1" applyBorder="1" applyAlignment="1">
      <alignment horizontal="center" vertical="center" wrapText="1"/>
    </xf>
    <xf numFmtId="0" fontId="46" fillId="70" borderId="45" xfId="0" applyFont="1" applyFill="1" applyBorder="1" applyAlignment="1">
      <alignment horizontal="center" wrapText="1"/>
    </xf>
    <xf numFmtId="0" fontId="46" fillId="70" borderId="0" xfId="0" applyFont="1" applyFill="1" applyAlignment="1">
      <alignment horizontal="center" wrapText="1"/>
    </xf>
    <xf numFmtId="0" fontId="46" fillId="66" borderId="45" xfId="0" applyFont="1" applyFill="1" applyBorder="1" applyAlignment="1">
      <alignment horizontal="center" vertical="center" wrapText="1"/>
    </xf>
    <xf numFmtId="0" fontId="46" fillId="66" borderId="0" xfId="0" applyFont="1" applyFill="1" applyAlignment="1">
      <alignment horizontal="center" vertical="center" wrapText="1"/>
    </xf>
    <xf numFmtId="0" fontId="46" fillId="66" borderId="34" xfId="0" applyFont="1" applyFill="1" applyBorder="1" applyAlignment="1">
      <alignment horizontal="center" vertical="center" wrapText="1"/>
    </xf>
    <xf numFmtId="0" fontId="0" fillId="13" borderId="45" xfId="0" applyFill="1" applyBorder="1" applyAlignment="1">
      <alignment horizontal="center" wrapText="1"/>
    </xf>
    <xf numFmtId="0" fontId="12" fillId="0" borderId="0" xfId="0" applyFont="1" applyAlignment="1">
      <alignment horizontal="center"/>
    </xf>
    <xf numFmtId="0" fontId="0" fillId="24" borderId="45" xfId="0" applyFill="1" applyBorder="1" applyAlignment="1">
      <alignment horizontal="center"/>
    </xf>
    <xf numFmtId="0" fontId="0" fillId="24" borderId="0" xfId="0" applyFill="1" applyAlignment="1">
      <alignment horizontal="center"/>
    </xf>
    <xf numFmtId="0" fontId="0" fillId="7" borderId="45" xfId="0" applyFill="1" applyBorder="1" applyAlignment="1">
      <alignment horizontal="center" wrapText="1"/>
    </xf>
    <xf numFmtId="0" fontId="0" fillId="7" borderId="0" xfId="0" applyFill="1" applyAlignment="1">
      <alignment horizontal="center" wrapText="1"/>
    </xf>
    <xf numFmtId="0" fontId="0" fillId="7" borderId="34" xfId="0" applyFill="1" applyBorder="1" applyAlignment="1">
      <alignment horizontal="center" wrapText="1"/>
    </xf>
    <xf numFmtId="0" fontId="0" fillId="25" borderId="45" xfId="0" applyFill="1" applyBorder="1" applyAlignment="1">
      <alignment horizontal="center" wrapText="1"/>
    </xf>
    <xf numFmtId="0" fontId="0" fillId="25" borderId="0" xfId="0" applyFill="1" applyAlignment="1">
      <alignment horizontal="center" wrapText="1"/>
    </xf>
    <xf numFmtId="0" fontId="0" fillId="0" borderId="1" xfId="0" applyBorder="1" applyAlignment="1">
      <alignment horizontal="center" wrapText="1"/>
    </xf>
    <xf numFmtId="0" fontId="0" fillId="19" borderId="45" xfId="0" applyFill="1" applyBorder="1" applyAlignment="1">
      <alignment horizontal="center"/>
    </xf>
    <xf numFmtId="0" fontId="0" fillId="19" borderId="0" xfId="0" applyFill="1" applyAlignment="1">
      <alignment horizontal="center"/>
    </xf>
    <xf numFmtId="0" fontId="0" fillId="8" borderId="45" xfId="0" applyFill="1" applyBorder="1" applyAlignment="1">
      <alignment horizontal="center"/>
    </xf>
    <xf numFmtId="0" fontId="0" fillId="8" borderId="34" xfId="0" applyFill="1" applyBorder="1" applyAlignment="1">
      <alignment horizontal="center"/>
    </xf>
    <xf numFmtId="0" fontId="0" fillId="23" borderId="45" xfId="0" applyFill="1" applyBorder="1" applyAlignment="1">
      <alignment horizontal="center" wrapText="1"/>
    </xf>
    <xf numFmtId="0" fontId="0" fillId="23" borderId="0" xfId="0" applyFill="1" applyAlignment="1">
      <alignment horizontal="center" wrapText="1"/>
    </xf>
    <xf numFmtId="0" fontId="0" fillId="23" borderId="34" xfId="0" applyFill="1" applyBorder="1" applyAlignment="1">
      <alignment horizontal="center" wrapText="1"/>
    </xf>
    <xf numFmtId="0" fontId="0" fillId="20" borderId="0" xfId="0" applyFill="1" applyAlignment="1">
      <alignment horizontal="center" vertical="center" wrapText="1"/>
    </xf>
    <xf numFmtId="0" fontId="0" fillId="20" borderId="1" xfId="0" applyFill="1" applyBorder="1" applyAlignment="1">
      <alignment horizontal="center" vertical="center" wrapText="1"/>
    </xf>
    <xf numFmtId="0" fontId="8" fillId="0" borderId="11" xfId="0" applyFont="1" applyBorder="1" applyAlignment="1">
      <alignment horizontal="center" vertical="center"/>
    </xf>
    <xf numFmtId="0" fontId="8" fillId="0" borderId="35" xfId="0" applyFont="1" applyBorder="1" applyAlignment="1">
      <alignment horizontal="center" vertical="center"/>
    </xf>
    <xf numFmtId="0" fontId="8" fillId="0" borderId="10" xfId="0" applyFont="1" applyBorder="1" applyAlignment="1">
      <alignment horizontal="center" vertical="center"/>
    </xf>
    <xf numFmtId="0" fontId="0" fillId="5" borderId="0" xfId="0" applyFill="1" applyAlignment="1">
      <alignment horizontal="center" vertical="center" wrapText="1"/>
    </xf>
    <xf numFmtId="0" fontId="0" fillId="5" borderId="1" xfId="0" applyFill="1" applyBorder="1" applyAlignment="1">
      <alignment horizontal="center" vertical="center" wrapText="1"/>
    </xf>
    <xf numFmtId="0" fontId="0" fillId="21" borderId="0" xfId="0" applyFill="1" applyAlignment="1">
      <alignment horizontal="center" vertical="center" wrapText="1"/>
    </xf>
    <xf numFmtId="0" fontId="0" fillId="21" borderId="1" xfId="0" applyFill="1" applyBorder="1" applyAlignment="1">
      <alignment horizontal="center" vertical="center" wrapText="1"/>
    </xf>
    <xf numFmtId="0" fontId="0" fillId="19" borderId="0" xfId="0" applyFill="1" applyAlignment="1">
      <alignment horizontal="center" vertical="center" wrapText="1"/>
    </xf>
    <xf numFmtId="0" fontId="0" fillId="19" borderId="1" xfId="0" applyFill="1" applyBorder="1" applyAlignment="1">
      <alignment horizontal="center" vertical="center" wrapText="1"/>
    </xf>
    <xf numFmtId="0" fontId="0" fillId="9" borderId="0" xfId="0" applyFill="1" applyAlignment="1">
      <alignment horizontal="center" vertical="center" wrapText="1"/>
    </xf>
    <xf numFmtId="0" fontId="0" fillId="0" borderId="6" xfId="0" quotePrefix="1" applyBorder="1" applyAlignment="1">
      <alignment horizontal="left" vertical="center"/>
    </xf>
    <xf numFmtId="0" fontId="0" fillId="0" borderId="31" xfId="0" applyBorder="1" applyAlignment="1">
      <alignment horizontal="left" vertical="center"/>
    </xf>
    <xf numFmtId="0" fontId="0" fillId="0" borderId="31"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31" xfId="0" quotePrefix="1" applyBorder="1" applyAlignment="1">
      <alignment horizontal="left" vertical="center"/>
    </xf>
    <xf numFmtId="2" fontId="0" fillId="0" borderId="5" xfId="0" applyNumberFormat="1" applyBorder="1" applyAlignment="1">
      <alignment horizontal="left" vertical="center"/>
    </xf>
    <xf numFmtId="0" fontId="0" fillId="0" borderId="23" xfId="0" quotePrefix="1" applyBorder="1" applyAlignment="1">
      <alignment horizontal="left" vertical="center"/>
    </xf>
    <xf numFmtId="2" fontId="0" fillId="0" borderId="23" xfId="0" applyNumberFormat="1" applyBorder="1" applyAlignment="1">
      <alignment horizontal="left" vertical="center"/>
    </xf>
    <xf numFmtId="2" fontId="0" fillId="0" borderId="20" xfId="0" applyNumberFormat="1" applyBorder="1" applyAlignment="1">
      <alignment horizontal="left" vertical="center"/>
    </xf>
    <xf numFmtId="0" fontId="0" fillId="0" borderId="23" xfId="0" applyBorder="1" applyAlignment="1">
      <alignment horizontal="left" vertical="center" wrapText="1"/>
    </xf>
    <xf numFmtId="0" fontId="25" fillId="0" borderId="0" xfId="0" applyFont="1" applyAlignment="1">
      <alignment horizontal="center" vertical="center"/>
    </xf>
    <xf numFmtId="9" fontId="0" fillId="11" borderId="11" xfId="0" applyNumberFormat="1" applyFill="1" applyBorder="1" applyAlignment="1">
      <alignment horizontal="center" vertical="center"/>
    </xf>
    <xf numFmtId="9" fontId="0" fillId="11" borderId="35" xfId="0" applyNumberFormat="1" applyFill="1" applyBorder="1" applyAlignment="1">
      <alignment horizontal="center" vertical="center"/>
    </xf>
    <xf numFmtId="9" fontId="0" fillId="11" borderId="37" xfId="0" applyNumberFormat="1" applyFill="1" applyBorder="1" applyAlignment="1">
      <alignment horizontal="center" vertical="center"/>
    </xf>
    <xf numFmtId="9" fontId="0" fillId="11" borderId="55" xfId="0" applyNumberFormat="1" applyFill="1" applyBorder="1" applyAlignment="1">
      <alignment horizontal="center" vertical="center"/>
    </xf>
    <xf numFmtId="9" fontId="0" fillId="11" borderId="25" xfId="0" applyNumberFormat="1" applyFill="1" applyBorder="1" applyAlignment="1">
      <alignment horizontal="center" vertical="center"/>
    </xf>
    <xf numFmtId="9" fontId="0" fillId="11" borderId="26" xfId="0" applyNumberFormat="1" applyFill="1" applyBorder="1" applyAlignment="1">
      <alignment horizontal="center" vertical="center"/>
    </xf>
    <xf numFmtId="0" fontId="0" fillId="11" borderId="54" xfId="0" applyFill="1" applyBorder="1" applyAlignment="1">
      <alignment horizontal="center" vertical="center"/>
    </xf>
    <xf numFmtId="0" fontId="0" fillId="11" borderId="32" xfId="0" applyFill="1" applyBorder="1" applyAlignment="1">
      <alignment horizontal="center" vertical="center"/>
    </xf>
    <xf numFmtId="0" fontId="0" fillId="11" borderId="27" xfId="0" applyFill="1" applyBorder="1" applyAlignment="1">
      <alignment horizontal="center" vertical="center"/>
    </xf>
    <xf numFmtId="0" fontId="0" fillId="11" borderId="50" xfId="0" applyFill="1" applyBorder="1" applyAlignment="1">
      <alignment horizontal="center" vertical="center"/>
    </xf>
    <xf numFmtId="0" fontId="0" fillId="11" borderId="1" xfId="0" applyFill="1" applyBorder="1" applyAlignment="1">
      <alignment horizontal="center" vertical="center"/>
    </xf>
    <xf numFmtId="0" fontId="0" fillId="11" borderId="33" xfId="0" applyFill="1" applyBorder="1" applyAlignment="1">
      <alignment horizontal="center" vertical="center"/>
    </xf>
    <xf numFmtId="0" fontId="0" fillId="0" borderId="32" xfId="0" applyBorder="1" applyAlignment="1">
      <alignment horizontal="center" wrapText="1"/>
    </xf>
    <xf numFmtId="9" fontId="0" fillId="0" borderId="36" xfId="0" applyNumberFormat="1" applyBorder="1" applyAlignment="1">
      <alignment horizontal="left" vertical="center" wrapText="1"/>
    </xf>
    <xf numFmtId="9" fontId="0" fillId="0" borderId="34" xfId="0" applyNumberFormat="1" applyBorder="1" applyAlignment="1">
      <alignment horizontal="left" vertical="center" wrapText="1"/>
    </xf>
    <xf numFmtId="9" fontId="15" fillId="8" borderId="23" xfId="0" applyNumberFormat="1" applyFont="1" applyFill="1" applyBorder="1" applyAlignment="1">
      <alignment horizontal="center" vertical="center" wrapText="1"/>
    </xf>
    <xf numFmtId="9" fontId="15" fillId="8" borderId="20" xfId="0" applyNumberFormat="1" applyFont="1" applyFill="1" applyBorder="1" applyAlignment="1">
      <alignment horizontal="center" vertical="center" wrapText="1"/>
    </xf>
    <xf numFmtId="9" fontId="15" fillId="8" borderId="9" xfId="0" applyNumberFormat="1" applyFont="1" applyFill="1" applyBorder="1" applyAlignment="1">
      <alignment horizontal="center" vertical="center" wrapText="1"/>
    </xf>
    <xf numFmtId="9" fontId="15" fillId="8" borderId="46" xfId="0" applyNumberFormat="1" applyFont="1" applyFill="1" applyBorder="1" applyAlignment="1">
      <alignment horizontal="center" vertical="center" wrapText="1"/>
    </xf>
    <xf numFmtId="0" fontId="0" fillId="0" borderId="21" xfId="0" applyBorder="1" applyAlignment="1">
      <alignment horizontal="left" vertical="center"/>
    </xf>
    <xf numFmtId="9" fontId="0" fillId="9" borderId="46" xfId="0" applyNumberFormat="1" applyFill="1" applyBorder="1" applyAlignment="1">
      <alignment horizontal="center" vertical="center"/>
    </xf>
    <xf numFmtId="9" fontId="0" fillId="9" borderId="19" xfId="0" applyNumberFormat="1" applyFill="1" applyBorder="1" applyAlignment="1">
      <alignment horizontal="center" vertical="center"/>
    </xf>
    <xf numFmtId="9" fontId="0" fillId="9" borderId="20" xfId="0" applyNumberFormat="1" applyFill="1" applyBorder="1" applyAlignment="1">
      <alignment horizontal="center" vertical="center"/>
    </xf>
    <xf numFmtId="9" fontId="0" fillId="9" borderId="18" xfId="0" applyNumberFormat="1" applyFill="1" applyBorder="1" applyAlignment="1">
      <alignment horizontal="center" vertical="center"/>
    </xf>
    <xf numFmtId="0" fontId="15" fillId="0" borderId="34" xfId="0" applyFont="1" applyBorder="1" applyAlignment="1">
      <alignment horizontal="left" vertical="center" wrapText="1"/>
    </xf>
    <xf numFmtId="10" fontId="15" fillId="8" borderId="20" xfId="0" applyNumberFormat="1" applyFont="1" applyFill="1" applyBorder="1" applyAlignment="1">
      <alignment horizontal="center" vertical="center" wrapText="1"/>
    </xf>
    <xf numFmtId="9" fontId="15" fillId="8" borderId="54" xfId="0" applyNumberFormat="1" applyFont="1" applyFill="1" applyBorder="1" applyAlignment="1">
      <alignment horizontal="center" vertical="center" wrapText="1"/>
    </xf>
    <xf numFmtId="9" fontId="15" fillId="8" borderId="45" xfId="0" applyNumberFormat="1" applyFont="1" applyFill="1" applyBorder="1" applyAlignment="1">
      <alignment horizontal="center" vertical="center" wrapText="1"/>
    </xf>
    <xf numFmtId="9" fontId="15" fillId="8" borderId="18" xfId="0" applyNumberFormat="1" applyFont="1" applyFill="1" applyBorder="1" applyAlignment="1">
      <alignment horizontal="center" vertical="center" wrapText="1"/>
    </xf>
    <xf numFmtId="9" fontId="0" fillId="0" borderId="0" xfId="0" applyNumberFormat="1" applyAlignment="1">
      <alignment horizontal="center" vertical="center"/>
    </xf>
    <xf numFmtId="0" fontId="0" fillId="0" borderId="58" xfId="0" applyBorder="1" applyAlignment="1">
      <alignment horizontal="center" vertical="center" textRotation="90"/>
    </xf>
    <xf numFmtId="0" fontId="0" fillId="0" borderId="41" xfId="0" applyBorder="1" applyAlignment="1">
      <alignment horizontal="center" vertical="center" textRotation="90"/>
    </xf>
    <xf numFmtId="0" fontId="0" fillId="0" borderId="29" xfId="0" applyBorder="1" applyAlignment="1">
      <alignment horizontal="center" vertical="center" textRotation="90"/>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39"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vertical="center" wrapText="1"/>
    </xf>
    <xf numFmtId="0" fontId="0" fillId="0" borderId="60" xfId="0" applyBorder="1" applyAlignment="1">
      <alignment horizontal="center" vertical="center"/>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0" fillId="0" borderId="49" xfId="0" applyBorder="1" applyAlignment="1">
      <alignment horizontal="center" vertical="center" wrapText="1"/>
    </xf>
    <xf numFmtId="0" fontId="0" fillId="0" borderId="39" xfId="0" applyBorder="1" applyAlignment="1">
      <alignment horizontal="center" wrapText="1"/>
    </xf>
    <xf numFmtId="0" fontId="0" fillId="0" borderId="24" xfId="0" applyBorder="1" applyAlignment="1">
      <alignment horizontal="center" wrapText="1"/>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39" xfId="0" applyBorder="1" applyAlignment="1">
      <alignment horizontal="center" vertical="center"/>
    </xf>
    <xf numFmtId="0" fontId="0" fillId="0" borderId="2" xfId="0" applyBorder="1" applyAlignment="1">
      <alignment horizontal="center" vertical="center"/>
    </xf>
    <xf numFmtId="0" fontId="0" fillId="0" borderId="62" xfId="0" applyBorder="1" applyAlignment="1">
      <alignment horizontal="center" vertical="center" wrapText="1"/>
    </xf>
    <xf numFmtId="0" fontId="0" fillId="0" borderId="63" xfId="0" applyBorder="1" applyAlignment="1">
      <alignment horizontal="center" vertical="center"/>
    </xf>
    <xf numFmtId="0" fontId="0" fillId="0" borderId="11" xfId="0" applyBorder="1" applyAlignment="1">
      <alignment horizontal="center" vertical="center" textRotation="90"/>
    </xf>
    <xf numFmtId="0" fontId="0" fillId="0" borderId="45" xfId="0" applyBorder="1" applyAlignment="1">
      <alignment horizontal="center" vertical="center" textRotation="90"/>
    </xf>
    <xf numFmtId="0" fontId="0" fillId="0" borderId="46" xfId="0" applyBorder="1" applyAlignment="1">
      <alignment horizontal="center" vertical="center" textRotation="90"/>
    </xf>
    <xf numFmtId="0" fontId="0" fillId="11" borderId="39" xfId="0" applyFill="1" applyBorder="1" applyAlignment="1">
      <alignment horizontal="center"/>
    </xf>
    <xf numFmtId="0" fontId="0" fillId="11" borderId="2" xfId="0" applyFill="1" applyBorder="1" applyAlignment="1">
      <alignment horizontal="center"/>
    </xf>
    <xf numFmtId="9" fontId="0" fillId="11" borderId="27" xfId="0" applyNumberFormat="1" applyFill="1" applyBorder="1" applyAlignment="1">
      <alignment horizontal="center"/>
    </xf>
    <xf numFmtId="9" fontId="0" fillId="11" borderId="28" xfId="0" applyNumberFormat="1" applyFill="1" applyBorder="1" applyAlignment="1">
      <alignment horizontal="center"/>
    </xf>
    <xf numFmtId="0" fontId="0" fillId="0" borderId="34" xfId="0" applyBorder="1" applyAlignment="1">
      <alignment horizontal="left" vertical="center"/>
    </xf>
    <xf numFmtId="0" fontId="0" fillId="0" borderId="38" xfId="0" applyBorder="1" applyAlignment="1">
      <alignment horizontal="left" vertical="center"/>
    </xf>
    <xf numFmtId="9" fontId="15" fillId="8" borderId="55" xfId="0" applyNumberFormat="1" applyFont="1" applyFill="1" applyBorder="1" applyAlignment="1">
      <alignment horizontal="center" vertical="center" wrapText="1"/>
    </xf>
    <xf numFmtId="9" fontId="0" fillId="10" borderId="46" xfId="0" applyNumberFormat="1" applyFill="1" applyBorder="1" applyAlignment="1">
      <alignment horizontal="center" vertical="center"/>
    </xf>
    <xf numFmtId="0" fontId="15" fillId="0" borderId="38" xfId="0" applyFont="1" applyBorder="1" applyAlignment="1">
      <alignment horizontal="left" vertical="center" wrapText="1"/>
    </xf>
    <xf numFmtId="9" fontId="15" fillId="8" borderId="19" xfId="0" applyNumberFormat="1" applyFont="1" applyFill="1" applyBorder="1" applyAlignment="1">
      <alignment horizontal="center" vertical="center" wrapText="1"/>
    </xf>
    <xf numFmtId="0" fontId="15" fillId="0" borderId="8" xfId="0" applyFont="1" applyBorder="1" applyAlignment="1">
      <alignment horizontal="center" wrapText="1"/>
    </xf>
    <xf numFmtId="0" fontId="15" fillId="0" borderId="21" xfId="0" applyFont="1" applyBorder="1" applyAlignment="1">
      <alignment horizontal="center" wrapText="1"/>
    </xf>
    <xf numFmtId="0" fontId="15" fillId="0" borderId="21"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8" xfId="0" applyFont="1" applyBorder="1" applyAlignment="1">
      <alignment horizontal="left" vertical="center" wrapText="1"/>
    </xf>
    <xf numFmtId="0" fontId="15" fillId="0" borderId="21" xfId="0" applyFont="1" applyBorder="1" applyAlignment="1">
      <alignment horizontal="left"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ellStyle name="Normal 2" xfId="45" xr:uid="{00000000-0005-0000-0000-000027000000}"/>
    <cellStyle name="Note" xfId="16" builtinId="10" customBuiltin="1"/>
    <cellStyle name="Output" xfId="11" builtinId="21" customBuiltin="1"/>
    <cellStyle name="Percent" xfId="2" builtinId="5"/>
    <cellStyle name="Title 2" xfId="43" xr:uid="{00000000-0005-0000-0000-00002B000000}"/>
    <cellStyle name="Total" xfId="18" builtinId="25" customBuiltin="1"/>
    <cellStyle name="Warning Text" xfId="15" builtinId="11" customBuiltin="1"/>
  </cellStyles>
  <dxfs count="0"/>
  <tableStyles count="0" defaultTableStyle="TableStyleMedium9" defaultPivotStyle="PivotStyleLight16"/>
  <colors>
    <mruColors>
      <color rgb="FFFDE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Calibri"/>
                <a:ea typeface="Calibri"/>
                <a:cs typeface="Calibri"/>
              </a:defRPr>
            </a:pPr>
            <a:r>
              <a:rPr lang="en-US"/>
              <a:t>CIP Projects Phosphorus Removal Totals (lb/yr)</a:t>
            </a:r>
          </a:p>
        </c:rich>
      </c:tx>
      <c:layout>
        <c:manualLayout>
          <c:xMode val="edge"/>
          <c:yMode val="edge"/>
          <c:x val="0.24290029784012848"/>
          <c:y val="2.0808859631576075E-2"/>
        </c:manualLayout>
      </c:layout>
      <c:overlay val="0"/>
      <c:spPr>
        <a:noFill/>
        <a:ln w="25400">
          <a:noFill/>
        </a:ln>
      </c:spPr>
    </c:title>
    <c:autoTitleDeleted val="0"/>
    <c:plotArea>
      <c:layout/>
      <c:pieChart>
        <c:varyColors val="1"/>
        <c:ser>
          <c:idx val="0"/>
          <c:order val="0"/>
          <c:tx>
            <c:strRef>
              <c:f>'Nutrient Accounting Overview'!$A$35:$A$40</c:f>
              <c:strCache>
                <c:ptCount val="6"/>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F1D-4962-8DBD-354C7D6AE7A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F1D-4962-8DBD-354C7D6AE7A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F1D-4962-8DBD-354C7D6AE7A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F1D-4962-8DBD-354C7D6AE7A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F1D-4962-8DBD-354C7D6AE7A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F1D-4962-8DBD-354C7D6AE7AA}"/>
              </c:ext>
            </c:extLst>
          </c:dPt>
          <c:dLbls>
            <c:dLbl>
              <c:idx val="0"/>
              <c:layout>
                <c:manualLayout>
                  <c:x val="-0.25355690582673268"/>
                  <c:y val="-1.3780690165010913E-3"/>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1D-4962-8DBD-354C7D6AE7AA}"/>
                </c:ext>
              </c:extLst>
            </c:dLbl>
            <c:dLbl>
              <c:idx val="1"/>
              <c:layout>
                <c:manualLayout>
                  <c:x val="8.3020050125313286E-2"/>
                  <c:y val="-6.9444444444444461E-2"/>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1D-4962-8DBD-354C7D6AE7AA}"/>
                </c:ext>
              </c:extLst>
            </c:dLbl>
            <c:dLbl>
              <c:idx val="2"/>
              <c:layout>
                <c:manualLayout>
                  <c:x val="9.2418546365914678E-2"/>
                  <c:y val="-9.2316305611052391E-2"/>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1D-4962-8DBD-354C7D6AE7AA}"/>
                </c:ext>
              </c:extLst>
            </c:dLbl>
            <c:dLbl>
              <c:idx val="3"/>
              <c:layout>
                <c:manualLayout>
                  <c:x val="4.0726817042606403E-2"/>
                  <c:y val="7.8703703703703706E-2"/>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1D-4962-8DBD-354C7D6AE7AA}"/>
                </c:ext>
              </c:extLst>
            </c:dLbl>
            <c:dLbl>
              <c:idx val="4"/>
              <c:layout>
                <c:manualLayout>
                  <c:x val="-5.0864554023981899E-2"/>
                  <c:y val="1.952889559282359E-2"/>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1D-4962-8DBD-354C7D6AE7AA}"/>
                </c:ext>
              </c:extLst>
            </c:dLbl>
            <c:dLbl>
              <c:idx val="5"/>
              <c:layout>
                <c:manualLayout>
                  <c:x val="-0.14017306563558743"/>
                  <c:y val="0.12320566301670795"/>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F1D-4962-8DBD-354C7D6AE7AA}"/>
                </c:ext>
              </c:extLst>
            </c:dLbl>
            <c:dLbl>
              <c:idx val="6"/>
              <c:layout>
                <c:manualLayout>
                  <c:x val="-0.1512818578061057"/>
                  <c:y val="0.17827529021558872"/>
                </c:manualLayout>
              </c:layout>
              <c:spPr>
                <a:solidFill>
                  <a:sysClr val="window" lastClr="FFFFFF"/>
                </a:solidFill>
                <a:ln>
                  <a:solidFill>
                    <a:sysClr val="windowText" lastClr="000000">
                      <a:lumMod val="25000"/>
                      <a:lumOff val="75000"/>
                    </a:sysClr>
                  </a:solidFill>
                </a:ln>
                <a:effectLst/>
              </c:spPr>
              <c:txPr>
                <a:bodyPr/>
                <a:lstStyle/>
                <a:p>
                  <a:pPr>
                    <a:defRPr sz="900" b="0" i="0" u="none" strike="noStrike" baseline="0">
                      <a:solidFill>
                        <a:srgbClr val="333333"/>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F1D-4962-8DBD-354C7D6AE7AA}"/>
                </c:ext>
              </c:extLst>
            </c:dLbl>
            <c:spPr>
              <a:solidFill>
                <a:sysClr val="window" lastClr="FFFFFF"/>
              </a:solidFill>
              <a:ln>
                <a:solidFill>
                  <a:sysClr val="windowText" lastClr="000000">
                    <a:lumMod val="25000"/>
                    <a:lumOff val="75000"/>
                  </a:sysClr>
                </a:solidFill>
              </a:ln>
              <a:effectLst/>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numRef>
              <c:f>'Nutrient Accounting Overview'!$A$35:$A$40</c:f>
              <c:numCache>
                <c:formatCode>General</c:formatCode>
                <c:ptCount val="6"/>
              </c:numCache>
            </c:numRef>
          </c:cat>
          <c:val>
            <c:numRef>
              <c:f>'Nutrient Accounting Overview'!$E$35:$E$40</c:f>
              <c:numCache>
                <c:formatCode>#,##0.0</c:formatCode>
                <c:ptCount val="6"/>
              </c:numCache>
            </c:numRef>
          </c:val>
          <c:extLst>
            <c:ext xmlns:c16="http://schemas.microsoft.com/office/drawing/2014/chart" uri="{C3380CC4-5D6E-409C-BE32-E72D297353CC}">
              <c16:uniqueId val="{0000000D-8F1D-4962-8DBD-354C7D6AE7A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Albemarle</a:t>
            </a:r>
            <a:r>
              <a:rPr lang="en-US" b="1" baseline="0"/>
              <a:t> County - Achieved Ches. Bay </a:t>
            </a:r>
            <a:r>
              <a:rPr lang="en-US" b="1"/>
              <a:t>TMDL Credits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lumMod val="20000"/>
                  <a:lumOff val="80000"/>
                </a:schemeClr>
              </a:solidFill>
              <a:ln w="19050">
                <a:solidFill>
                  <a:schemeClr val="lt1"/>
                </a:solidFill>
              </a:ln>
              <a:effectLst/>
            </c:spPr>
            <c:extLst>
              <c:ext xmlns:c16="http://schemas.microsoft.com/office/drawing/2014/chart" uri="{C3380CC4-5D6E-409C-BE32-E72D297353CC}">
                <c16:uniqueId val="{00000003-F239-49F0-A78C-6E7C592AA12C}"/>
              </c:ext>
            </c:extLst>
          </c:dPt>
          <c:dPt>
            <c:idx val="1"/>
            <c:bubble3D val="0"/>
            <c:spPr>
              <a:solidFill>
                <a:srgbClr val="00B0F0"/>
              </a:solidFill>
              <a:ln w="19050">
                <a:solidFill>
                  <a:schemeClr val="lt1"/>
                </a:solidFill>
              </a:ln>
              <a:effectLst/>
            </c:spPr>
            <c:extLst>
              <c:ext xmlns:c16="http://schemas.microsoft.com/office/drawing/2014/chart" uri="{C3380CC4-5D6E-409C-BE32-E72D297353CC}">
                <c16:uniqueId val="{00000004-F239-49F0-A78C-6E7C592AA12C}"/>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5-F239-49F0-A78C-6E7C592AA12C}"/>
              </c:ext>
            </c:extLst>
          </c:dPt>
          <c:dPt>
            <c:idx val="3"/>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02-F239-49F0-A78C-6E7C592AA12C}"/>
              </c:ext>
            </c:extLst>
          </c:dPt>
          <c:dLbls>
            <c:spPr>
              <a:noFill/>
              <a:ln>
                <a:noFill/>
              </a:ln>
              <a:effectLst/>
            </c:spPr>
            <c:txPr>
              <a:bodyPr rot="0" spcFirstLastPara="1" vertOverflow="ellipsis" vert="horz" wrap="square" lIns="38100" tIns="19050" rIns="38100" bIns="19050" anchor="ctr" anchorCtr="1">
                <a:spAutoFit/>
              </a:bodyPr>
              <a:lstStyle/>
              <a:p>
                <a:pPr>
                  <a:defRPr sz="15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'Nutrient Accounting Overview'!$B$7:$B$10</c:f>
              <c:strCache>
                <c:ptCount val="4"/>
                <c:pt idx="0">
                  <c:v>New and Grandfathered Sources</c:v>
                </c:pt>
                <c:pt idx="1">
                  <c:v>Structural BMPs</c:v>
                </c:pt>
                <c:pt idx="2">
                  <c:v>Stream Restorations</c:v>
                </c:pt>
                <c:pt idx="3">
                  <c:v>BMPs installed after January 1, 2006 and prior to July 1, 2009</c:v>
                </c:pt>
              </c:strCache>
            </c:strRef>
          </c:cat>
          <c:val>
            <c:numRef>
              <c:f>'Nutrient Accounting Overview'!$C$7:$C$10</c:f>
              <c:numCache>
                <c:formatCode>#,##0.0</c:formatCode>
                <c:ptCount val="4"/>
                <c:pt idx="0">
                  <c:v>122.86101912877065</c:v>
                </c:pt>
                <c:pt idx="1">
                  <c:v>70.385313103310509</c:v>
                </c:pt>
                <c:pt idx="2">
                  <c:v>246.26284408679018</c:v>
                </c:pt>
                <c:pt idx="3">
                  <c:v>253.25498788856521</c:v>
                </c:pt>
              </c:numCache>
            </c:numRef>
          </c:val>
          <c:extLst>
            <c:ext xmlns:c16="http://schemas.microsoft.com/office/drawing/2014/chart" uri="{C3380CC4-5D6E-409C-BE32-E72D297353CC}">
              <c16:uniqueId val="{00000000-F239-49F0-A78C-6E7C592AA12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89</xdr:row>
      <xdr:rowOff>76200</xdr:rowOff>
    </xdr:from>
    <xdr:to>
      <xdr:col>3</xdr:col>
      <xdr:colOff>236220</xdr:colOff>
      <xdr:row>107</xdr:row>
      <xdr:rowOff>83820</xdr:rowOff>
    </xdr:to>
    <xdr:graphicFrame macro="">
      <xdr:nvGraphicFramePr>
        <xdr:cNvPr id="228088" name="Chart 1">
          <a:extLst>
            <a:ext uri="{FF2B5EF4-FFF2-40B4-BE49-F238E27FC236}">
              <a16:creationId xmlns:a16="http://schemas.microsoft.com/office/drawing/2014/main" id="{00000000-0008-0000-0800-0000F87A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466726</xdr:colOff>
      <xdr:row>0</xdr:row>
      <xdr:rowOff>184784</xdr:rowOff>
    </xdr:from>
    <xdr:to>
      <xdr:col>14</xdr:col>
      <xdr:colOff>131446</xdr:colOff>
      <xdr:row>27</xdr:row>
      <xdr:rowOff>167640</xdr:rowOff>
    </xdr:to>
    <xdr:graphicFrame macro="">
      <xdr:nvGraphicFramePr>
        <xdr:cNvPr id="2" name="Chart 1">
          <a:extLst>
            <a:ext uri="{FF2B5EF4-FFF2-40B4-BE49-F238E27FC236}">
              <a16:creationId xmlns:a16="http://schemas.microsoft.com/office/drawing/2014/main" id="{F142F227-3576-4C9D-BE09-C4E2FE3D57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Environmental%20Team/Stavros_Calos/ChesBayResubmit2019/Phase%202%20alt%20Ches%20Bay%20Action%20Plan_Attachment%20C)%20FY2018%20Load%20Reduction%20Calculations%20for%20Chesapeake%20Bay%20TMDL%20Action%20Plan%20Update.xlsx?B04CA4EA" TargetMode="External"/><Relationship Id="rId1" Type="http://schemas.openxmlformats.org/officeDocument/2006/relationships/externalLinkPath" Target="file:///\\B04CA4EA\Phase%202%20alt%20Ches%20Bay%20Action%20Plan_Attachment%20C)%20FY2018%20Load%20Reduction%20Calculations%20for%20Chesapeake%20Bay%20TMDL%20Action%20Plan%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isting Source Loads"/>
      <sheetName val="2009 Land Use"/>
      <sheetName val="New and GF Source Loads"/>
      <sheetName val="Special Situations"/>
      <sheetName val="Structural BMP Accounting"/>
      <sheetName val="Updated Stream Accounting"/>
      <sheetName val="Stream Restoration Accounting"/>
      <sheetName val="Historical BMP Accounting"/>
      <sheetName val="NMP"/>
      <sheetName val="Nutrient Accounting Overview"/>
      <sheetName val="Efficiency Lookup"/>
      <sheetName val="Efficiency Table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t="str">
            <v>1999 Retention Basin I (IC 22-37%)</v>
          </cell>
          <cell r="C2">
            <v>0.4</v>
          </cell>
          <cell r="D2" t="str">
            <v>CBP Wet Pond and Wetlands</v>
          </cell>
          <cell r="E2">
            <v>0.45</v>
          </cell>
          <cell r="F2">
            <v>0.2</v>
          </cell>
          <cell r="G2">
            <v>0.6</v>
          </cell>
        </row>
        <row r="3">
          <cell r="B3" t="str">
            <v>1999 Retention Basin II (IC 38-66%)</v>
          </cell>
          <cell r="C3">
            <v>0.5</v>
          </cell>
        </row>
        <row r="4">
          <cell r="B4" t="str">
            <v>1999 Retention Basin III (67-100%)</v>
          </cell>
          <cell r="C4">
            <v>0.65</v>
          </cell>
        </row>
        <row r="5">
          <cell r="B5" t="str">
            <v>1999 Constructed Wetland</v>
          </cell>
          <cell r="C5">
            <v>0.3</v>
          </cell>
        </row>
        <row r="6">
          <cell r="B6" t="str">
            <v>1999 Extented Detention (IC 22-37%)</v>
          </cell>
          <cell r="C6">
            <v>0.35</v>
          </cell>
          <cell r="D6" t="str">
            <v xml:space="preserve">CBP Dry Extended Detention Ponds </v>
          </cell>
          <cell r="E6">
            <v>0.2</v>
          </cell>
          <cell r="F6">
            <v>0.2</v>
          </cell>
          <cell r="G6">
            <v>0.6</v>
          </cell>
        </row>
        <row r="7">
          <cell r="B7" t="str">
            <v>1999 Enhanced Extented Detention (IC 38-66%)</v>
          </cell>
          <cell r="C7">
            <v>0.5</v>
          </cell>
          <cell r="D7" t="str">
            <v>CBP Detention Basin</v>
          </cell>
          <cell r="E7">
            <v>0.1</v>
          </cell>
          <cell r="F7">
            <v>0.05</v>
          </cell>
          <cell r="G7">
            <v>0.1</v>
          </cell>
        </row>
        <row r="8">
          <cell r="D8" t="str">
            <v>CBP Dry Detention Ponds</v>
          </cell>
          <cell r="E8">
            <v>0.1</v>
          </cell>
          <cell r="F8">
            <v>0.05</v>
          </cell>
          <cell r="G8">
            <v>0.1</v>
          </cell>
        </row>
        <row r="9">
          <cell r="B9" t="str">
            <v>1999 Bioretention I (0.5 in rainfall)</v>
          </cell>
          <cell r="C9">
            <v>0.5</v>
          </cell>
          <cell r="D9" t="str">
            <v>CBP Bioretention C/D soils</v>
          </cell>
          <cell r="E9">
            <v>0.45</v>
          </cell>
          <cell r="F9">
            <v>0.25</v>
          </cell>
          <cell r="G9">
            <v>0.55000000000000004</v>
          </cell>
        </row>
        <row r="10">
          <cell r="B10" t="str">
            <v>1999 Bioretention II (1.0 in rainfall)</v>
          </cell>
          <cell r="C10">
            <v>0.65</v>
          </cell>
          <cell r="D10" t="str">
            <v>CBP Bioretention A/B soils</v>
          </cell>
          <cell r="E10">
            <v>0.75</v>
          </cell>
          <cell r="F10">
            <v>0.7</v>
          </cell>
          <cell r="G10">
            <v>0.8</v>
          </cell>
        </row>
        <row r="11">
          <cell r="B11" t="str">
            <v>1999 Green Alley with 0.5 in of runoff storage</v>
          </cell>
          <cell r="C11">
            <v>0.5</v>
          </cell>
          <cell r="D11" t="str">
            <v xml:space="preserve">CBP Bioretention A/B soils, no underdrain </v>
          </cell>
          <cell r="E11">
            <v>0.85</v>
          </cell>
          <cell r="F11">
            <v>0.8</v>
          </cell>
          <cell r="G11">
            <v>0.9</v>
          </cell>
        </row>
        <row r="12">
          <cell r="B12" t="str">
            <v>1999 Green Alley with 1.0 in of runoff storage</v>
          </cell>
          <cell r="C12">
            <v>0.65</v>
          </cell>
        </row>
        <row r="13">
          <cell r="B13" t="str">
            <v>1999 Grassed Swale</v>
          </cell>
          <cell r="C13">
            <v>0.15</v>
          </cell>
          <cell r="D13" t="str">
            <v xml:space="preserve">CBP Bioswale </v>
          </cell>
          <cell r="E13">
            <v>0.75</v>
          </cell>
          <cell r="F13">
            <v>0.7</v>
          </cell>
          <cell r="G13">
            <v>0.8</v>
          </cell>
        </row>
        <row r="14">
          <cell r="B14" t="str">
            <v>1999 Water Quality Swale</v>
          </cell>
          <cell r="C14">
            <v>0.35</v>
          </cell>
        </row>
        <row r="15">
          <cell r="B15" t="str">
            <v>1999 Vegetated Swale I (0.5 in rainfall)</v>
          </cell>
          <cell r="C15">
            <v>0.5</v>
          </cell>
        </row>
        <row r="16">
          <cell r="B16" t="str">
            <v>1999 Vegetated Swale II (1.0 in rainfall)</v>
          </cell>
          <cell r="C16">
            <v>0.65</v>
          </cell>
        </row>
        <row r="17">
          <cell r="B17" t="str">
            <v>1999 Infiltration with 0.5 in of runoff storage</v>
          </cell>
          <cell r="C17">
            <v>0.5</v>
          </cell>
          <cell r="D17" t="str">
            <v xml:space="preserve">CBP Infiltration Practices w/o Sand, Veg. </v>
          </cell>
          <cell r="E17">
            <v>0.85</v>
          </cell>
          <cell r="F17">
            <v>0.8</v>
          </cell>
          <cell r="G17">
            <v>0.95</v>
          </cell>
        </row>
        <row r="18">
          <cell r="B18" t="str">
            <v>1999 Infiltration with 1.0 in of runoff storage</v>
          </cell>
          <cell r="C18">
            <v>0.65</v>
          </cell>
          <cell r="D18" t="str">
            <v xml:space="preserve">CBP Infiltration Practices w/ Sand, Veg. </v>
          </cell>
          <cell r="E18">
            <v>0.85</v>
          </cell>
          <cell r="F18">
            <v>0.8</v>
          </cell>
          <cell r="G18">
            <v>0.95</v>
          </cell>
        </row>
        <row r="19">
          <cell r="B19" t="str">
            <v>1999 Sand Filters (0.5 in of runoff)</v>
          </cell>
          <cell r="C19">
            <v>0.65</v>
          </cell>
          <cell r="D19" t="str">
            <v xml:space="preserve">CBP Filtering Practices </v>
          </cell>
          <cell r="E19">
            <v>0.6</v>
          </cell>
          <cell r="F19">
            <v>0.4</v>
          </cell>
          <cell r="G19">
            <v>0.8</v>
          </cell>
        </row>
        <row r="21">
          <cell r="B21" t="str">
            <v>n/a</v>
          </cell>
          <cell r="C21" t="str">
            <v>n/a</v>
          </cell>
          <cell r="D21" t="str">
            <v xml:space="preserve">CBP Permeable Pavement w/o Sand, Veg. C/D soils, underdrain </v>
          </cell>
          <cell r="E21">
            <v>0.2</v>
          </cell>
          <cell r="F21">
            <v>0.1</v>
          </cell>
          <cell r="G21">
            <v>0.55000000000000004</v>
          </cell>
        </row>
        <row r="22">
          <cell r="B22" t="str">
            <v>n/a</v>
          </cell>
          <cell r="C22" t="str">
            <v>n/a</v>
          </cell>
          <cell r="D22" t="str">
            <v xml:space="preserve">CBP Permeable Pavement w/o Sand, Veg. A/B soils, underdrain </v>
          </cell>
          <cell r="E22">
            <v>0.5</v>
          </cell>
          <cell r="F22">
            <v>0.45</v>
          </cell>
          <cell r="G22">
            <v>0.7</v>
          </cell>
        </row>
        <row r="23">
          <cell r="B23" t="str">
            <v>n/a</v>
          </cell>
          <cell r="C23" t="str">
            <v>n/a</v>
          </cell>
          <cell r="D23" t="str">
            <v xml:space="preserve">CBP Permeable Pavement w/o Sand, Veg. A/B soils, no underdrain </v>
          </cell>
          <cell r="E23">
            <v>0.8</v>
          </cell>
          <cell r="F23">
            <v>0.75</v>
          </cell>
          <cell r="G23">
            <v>0.85</v>
          </cell>
        </row>
        <row r="24">
          <cell r="B24" t="str">
            <v>n/a</v>
          </cell>
          <cell r="C24" t="str">
            <v>n/a</v>
          </cell>
          <cell r="D24" t="str">
            <v xml:space="preserve">CBP Permeable Pavement w/Sand, Veg. C/D soils, underdrain </v>
          </cell>
          <cell r="E24">
            <v>0.2</v>
          </cell>
          <cell r="F24">
            <v>0.2</v>
          </cell>
          <cell r="G24">
            <v>0.55000000000000004</v>
          </cell>
        </row>
        <row r="25">
          <cell r="B25" t="str">
            <v>n/a</v>
          </cell>
          <cell r="C25" t="str">
            <v>n/a</v>
          </cell>
          <cell r="D25" t="str">
            <v xml:space="preserve">CBP Permeable Pavement w/Sand, Veg. A/B soils, underdrain </v>
          </cell>
          <cell r="E25">
            <v>0.5</v>
          </cell>
          <cell r="F25">
            <v>0.5</v>
          </cell>
          <cell r="G25">
            <v>0.7</v>
          </cell>
        </row>
        <row r="26">
          <cell r="B26" t="str">
            <v>n/a</v>
          </cell>
          <cell r="C26" t="str">
            <v>n/a</v>
          </cell>
          <cell r="D26" t="str">
            <v xml:space="preserve">CBP Permeable Pavement w/Sand, Veg. A/B soils, no underdrain </v>
          </cell>
          <cell r="E26">
            <v>0.8</v>
          </cell>
          <cell r="F26">
            <v>0.8</v>
          </cell>
          <cell r="G26">
            <v>0.85</v>
          </cell>
        </row>
        <row r="27">
          <cell r="B27" t="str">
            <v>n/a</v>
          </cell>
          <cell r="C27" t="str">
            <v>n/a</v>
          </cell>
          <cell r="D27" t="str">
            <v xml:space="preserve">CBP Vegetated Open Channels C/D soils, no underdrain </v>
          </cell>
          <cell r="E27">
            <v>0.1</v>
          </cell>
          <cell r="F27">
            <v>0.1</v>
          </cell>
          <cell r="G27">
            <v>0.5</v>
          </cell>
        </row>
        <row r="28">
          <cell r="B28" t="str">
            <v>n/a</v>
          </cell>
          <cell r="C28" t="str">
            <v>n/a</v>
          </cell>
          <cell r="D28" t="str">
            <v xml:space="preserve">CBP Vegetated Open Channels A/B soils, no underdrain </v>
          </cell>
          <cell r="E28">
            <v>0.45</v>
          </cell>
          <cell r="F28">
            <v>0.45</v>
          </cell>
          <cell r="G28">
            <v>0.7</v>
          </cell>
        </row>
        <row r="29">
          <cell r="B29" t="str">
            <v>n/a</v>
          </cell>
          <cell r="C29" t="str">
            <v>n/a</v>
          </cell>
          <cell r="D29" t="str">
            <v>n/a</v>
          </cell>
          <cell r="E29">
            <v>0</v>
          </cell>
          <cell r="F29" t="str">
            <v>n/a</v>
          </cell>
          <cell r="G29" t="str">
            <v>n/a</v>
          </cell>
        </row>
        <row r="30">
          <cell r="B30" t="str">
            <v>n/a</v>
          </cell>
          <cell r="C30" t="str">
            <v>n/a</v>
          </cell>
          <cell r="D30" t="str">
            <v>n/a</v>
          </cell>
          <cell r="E30" t="str">
            <v>n/a</v>
          </cell>
          <cell r="F30" t="str">
            <v>n/a</v>
          </cell>
          <cell r="G30" t="str">
            <v>n/a</v>
          </cell>
        </row>
        <row r="31">
          <cell r="B31" t="str">
            <v>n/a</v>
          </cell>
          <cell r="C31" t="str">
            <v>n/a</v>
          </cell>
          <cell r="D31" t="str">
            <v>n/a</v>
          </cell>
          <cell r="E31" t="str">
            <v>n/a</v>
          </cell>
          <cell r="F31" t="str">
            <v>n/a</v>
          </cell>
          <cell r="G31" t="str">
            <v>n/a</v>
          </cell>
        </row>
        <row r="32">
          <cell r="B32" t="str">
            <v>n/a</v>
          </cell>
          <cell r="C32" t="str">
            <v>n/a</v>
          </cell>
        </row>
        <row r="33">
          <cell r="B33" t="str">
            <v>n/a</v>
          </cell>
          <cell r="C33" t="str">
            <v>n/a</v>
          </cell>
        </row>
        <row r="34">
          <cell r="B34" t="str">
            <v>n/a</v>
          </cell>
          <cell r="C34" t="str">
            <v>n/a</v>
          </cell>
        </row>
        <row r="35">
          <cell r="B35" t="str">
            <v>n/a</v>
          </cell>
          <cell r="C35" t="str">
            <v>n/a</v>
          </cell>
          <cell r="D35" t="str">
            <v>CBP Hydrodynamic Structure/Separator</v>
          </cell>
          <cell r="E35">
            <v>0.1</v>
          </cell>
          <cell r="F35">
            <v>0.05</v>
          </cell>
          <cell r="G35">
            <v>0.1</v>
          </cell>
        </row>
        <row r="36">
          <cell r="B36" t="str">
            <v>n/a</v>
          </cell>
          <cell r="C36" t="str">
            <v>n/a</v>
          </cell>
        </row>
        <row r="37">
          <cell r="B37" t="str">
            <v>n/a</v>
          </cell>
          <cell r="C37" t="str">
            <v>n/a</v>
          </cell>
        </row>
        <row r="38">
          <cell r="B38" t="str">
            <v>n/a</v>
          </cell>
          <cell r="C38" t="str">
            <v>n/a</v>
          </cell>
        </row>
        <row r="44">
          <cell r="A44" t="str">
            <v>Wet_Pond</v>
          </cell>
        </row>
        <row r="45">
          <cell r="A45" t="str">
            <v>Wetlands</v>
          </cell>
        </row>
        <row r="46">
          <cell r="A46" t="str">
            <v>Detention</v>
          </cell>
        </row>
        <row r="47">
          <cell r="A47" t="str">
            <v>Bioretention</v>
          </cell>
        </row>
        <row r="48">
          <cell r="A48" t="str">
            <v>Swales</v>
          </cell>
        </row>
        <row r="49">
          <cell r="A49" t="str">
            <v>Infiltration</v>
          </cell>
        </row>
        <row r="50">
          <cell r="A50" t="str">
            <v>Filtering_Practices</v>
          </cell>
        </row>
        <row r="51">
          <cell r="A51" t="str">
            <v>Permeable_Pvmt</v>
          </cell>
        </row>
        <row r="52">
          <cell r="A52" t="str">
            <v>Veg_Chan</v>
          </cell>
        </row>
        <row r="53">
          <cell r="A53" t="str">
            <v>Rainwater_Harvesting</v>
          </cell>
        </row>
        <row r="54">
          <cell r="A54" t="str">
            <v>Green_Roof</v>
          </cell>
        </row>
        <row r="55">
          <cell r="A55" t="str">
            <v>Proprietary</v>
          </cell>
        </row>
        <row r="56">
          <cell r="A56" t="str">
            <v>Other</v>
          </cell>
        </row>
      </sheetData>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Stavros Calos" id="{22442AD5-4B63-4BB0-A8CD-899F7F93D415}" userId="S::scalos@Albemarle.org::fc6708c0-563a-4ce1-83da-424cb1a29f2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Y243" dT="2019-09-27T20:02:29.43" personId="{22442AD5-4B63-4BB0-A8CD-899F7F93D415}" id="{AFD69DCD-CF01-4CFB-853D-D3BC0EB1BDCD}">
    <text>Treatment unspecified in plans and taken from BayFilter documentation for cartridges corresponding to flow rate provided on plans: 
https://baysaver.com/wp-content/uploads/2018/04/BayFilter-Design-Manual-Hi-res-12-17.pdf</text>
  </threadedComment>
  <threadedComment ref="Y244" dT="2019-09-27T20:02:29.43" personId="{22442AD5-4B63-4BB0-A8CD-899F7F93D415}" id="{AE8DEDDE-0322-4121-B47D-C2E979A2CD66}">
    <text>Treatment unspecified in plans and taken from BayFilter documentation for cartridges corresponding to flow rate provided on plans: 
https://baysaver.com/wp-content/uploads/2018/04/BayFilter-Design-Manual-Hi-res-12-17.pdf</text>
  </threadedComment>
  <threadedComment ref="Y254" dT="2019-09-27T20:02:29.43" personId="{22442AD5-4B63-4BB0-A8CD-899F7F93D415}" id="{9097F4B2-0F04-45B7-8A96-E7A0A16AC0DF}">
    <text>Treatment unspecified in plans and taken from BayFilter documentation for cartridges corresponding to flow rate provided on plans: 
https://baysaver.com/wp-content/uploads/2018/04/BayFilter-Design-Manual-Hi-res-12-17.pdf</text>
  </threadedComment>
  <threadedComment ref="Y255" dT="2019-09-27T20:02:29.43" personId="{22442AD5-4B63-4BB0-A8CD-899F7F93D415}" id="{919E3817-2969-42D0-81C2-4913342D3CF9}">
    <text>Treatment unspecified in plans and taken from BayFilter documentation for cartridges corresponding to flow rate provided on plans: 
https://baysaver.com/wp-content/uploads/2018/04/BayFilter-Design-Manual-Hi-res-12-17.pdf</text>
  </threadedComment>
  <threadedComment ref="Y256" dT="2019-09-27T20:02:29.43" personId="{22442AD5-4B63-4BB0-A8CD-899F7F93D415}" id="{AA1698DD-E32A-42DC-9DF1-8D24CE9FAE4D}">
    <text>Treatment unspecified in plans and taken from BayFilter documentation for cartridges corresponding to flow rate provided on plans: 
https://baysaver.com/wp-content/uploads/2018/04/BayFilter-Design-Manual-Hi-res-12-17.pdf</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BD8E8-DC32-4703-8877-549B85E0C875}">
  <sheetPr>
    <tabColor theme="4"/>
  </sheetPr>
  <dimension ref="A1:A4"/>
  <sheetViews>
    <sheetView workbookViewId="0">
      <selection activeCell="A4" sqref="A4"/>
    </sheetView>
  </sheetViews>
  <sheetFormatPr defaultRowHeight="15" x14ac:dyDescent="0.25"/>
  <cols>
    <col min="1" max="1" width="74.7109375" customWidth="1"/>
  </cols>
  <sheetData>
    <row r="1" spans="1:1" x14ac:dyDescent="0.25">
      <c r="A1" s="1053" t="s">
        <v>0</v>
      </c>
    </row>
    <row r="2" spans="1:1" ht="195" customHeight="1" x14ac:dyDescent="0.25">
      <c r="A2" s="2" t="s">
        <v>1</v>
      </c>
    </row>
    <row r="4" spans="1:1" ht="30" x14ac:dyDescent="0.25">
      <c r="A4" s="2" t="s">
        <v>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5"/>
  <sheetViews>
    <sheetView tabSelected="1" topLeftCell="A4" workbookViewId="0">
      <selection activeCell="K9" sqref="K9"/>
    </sheetView>
  </sheetViews>
  <sheetFormatPr defaultRowHeight="15" x14ac:dyDescent="0.25"/>
  <cols>
    <col min="1" max="1" width="24.140625" customWidth="1"/>
    <col min="2" max="2" width="15.7109375" customWidth="1"/>
    <col min="3" max="4" width="17.28515625" customWidth="1"/>
    <col min="5" max="5" width="14.85546875" customWidth="1"/>
    <col min="6" max="6" width="12.28515625" customWidth="1"/>
    <col min="7" max="7" width="15" customWidth="1"/>
    <col min="8" max="8" width="14.5703125" customWidth="1"/>
    <col min="9" max="9" width="13.5703125" customWidth="1"/>
    <col min="10" max="10" width="12.140625" customWidth="1"/>
    <col min="11" max="11" width="12.7109375" customWidth="1"/>
    <col min="12" max="12" width="10.42578125" customWidth="1"/>
    <col min="13" max="13" width="13.5703125" customWidth="1"/>
  </cols>
  <sheetData>
    <row r="1" spans="1:12" ht="18.75" x14ac:dyDescent="0.3">
      <c r="A1" s="4" t="s">
        <v>209</v>
      </c>
      <c r="B1" s="4"/>
    </row>
    <row r="2" spans="1:12" x14ac:dyDescent="0.25">
      <c r="A2" t="s">
        <v>741</v>
      </c>
    </row>
    <row r="3" spans="1:12" x14ac:dyDescent="0.25">
      <c r="A3" t="s">
        <v>742</v>
      </c>
    </row>
    <row r="5" spans="1:12" ht="45.75" thickBot="1" x14ac:dyDescent="0.3">
      <c r="A5" s="620" t="s">
        <v>743</v>
      </c>
      <c r="B5" s="621" t="s">
        <v>744</v>
      </c>
      <c r="C5" s="620" t="s">
        <v>27</v>
      </c>
      <c r="D5" s="620" t="s">
        <v>26</v>
      </c>
      <c r="E5" s="621" t="s">
        <v>745</v>
      </c>
      <c r="F5" s="620" t="s">
        <v>746</v>
      </c>
      <c r="G5" s="620" t="s">
        <v>63</v>
      </c>
      <c r="H5" s="621" t="s">
        <v>747</v>
      </c>
      <c r="I5" s="621" t="s">
        <v>219</v>
      </c>
      <c r="J5" s="621" t="s">
        <v>748</v>
      </c>
      <c r="K5" s="621" t="s">
        <v>749</v>
      </c>
      <c r="L5" s="621" t="s">
        <v>750</v>
      </c>
    </row>
    <row r="6" spans="1:12" x14ac:dyDescent="0.25">
      <c r="A6" s="1221" t="s">
        <v>751</v>
      </c>
      <c r="B6" s="1229" t="s">
        <v>752</v>
      </c>
      <c r="C6" s="1226" t="s">
        <v>753</v>
      </c>
      <c r="D6" s="1226">
        <v>38.076214999999998</v>
      </c>
      <c r="E6" s="1227">
        <f>34750/43560</f>
        <v>0.79775022956841135</v>
      </c>
      <c r="F6" s="1226" t="s">
        <v>620</v>
      </c>
      <c r="G6" s="622" t="s">
        <v>56</v>
      </c>
      <c r="H6" s="622">
        <v>0.5</v>
      </c>
      <c r="I6" s="623">
        <f>H6*E6</f>
        <v>0.39887511478420568</v>
      </c>
      <c r="J6" s="622">
        <v>0.09</v>
      </c>
      <c r="K6" s="624">
        <f>IF(F6="N",0.48,0)</f>
        <v>0.48</v>
      </c>
      <c r="L6" s="623">
        <f t="shared" ref="L6:L21" si="0">I6*J6*(1-K6)</f>
        <v>1.8667355371900826E-2</v>
      </c>
    </row>
    <row r="7" spans="1:12" x14ac:dyDescent="0.25">
      <c r="A7" s="1222"/>
      <c r="B7" s="1221"/>
      <c r="C7" s="1220"/>
      <c r="D7" s="1220"/>
      <c r="E7" s="1228"/>
      <c r="F7" s="1220"/>
      <c r="G7" s="625" t="s">
        <v>54</v>
      </c>
      <c r="H7" s="625">
        <v>6.99</v>
      </c>
      <c r="I7" s="623">
        <f>H7*E6</f>
        <v>5.5762741046831952</v>
      </c>
      <c r="J7" s="625">
        <v>4.4999999999999998E-2</v>
      </c>
      <c r="K7" s="624">
        <f>IF(F6="N",0.48,0)</f>
        <v>0.48</v>
      </c>
      <c r="L7" s="623">
        <f t="shared" si="0"/>
        <v>0.13048481404958676</v>
      </c>
    </row>
    <row r="8" spans="1:12" x14ac:dyDescent="0.25">
      <c r="A8" s="1221" t="s">
        <v>751</v>
      </c>
      <c r="B8" s="1223" t="s">
        <v>754</v>
      </c>
      <c r="C8" s="1219" t="s">
        <v>755</v>
      </c>
      <c r="D8" s="1219">
        <v>38.074745</v>
      </c>
      <c r="E8" s="1225">
        <f>6600/43560</f>
        <v>0.15151515151515152</v>
      </c>
      <c r="F8" s="1219" t="s">
        <v>620</v>
      </c>
      <c r="G8" s="622" t="s">
        <v>56</v>
      </c>
      <c r="H8" s="622">
        <v>0.5</v>
      </c>
      <c r="I8" s="623">
        <f>H8*E8</f>
        <v>7.575757575757576E-2</v>
      </c>
      <c r="J8" s="622">
        <v>0.09</v>
      </c>
      <c r="K8" s="624">
        <f>IF(F8="N",0.48,0)</f>
        <v>0.48</v>
      </c>
      <c r="L8" s="623">
        <f t="shared" si="0"/>
        <v>3.5454545454545452E-3</v>
      </c>
    </row>
    <row r="9" spans="1:12" x14ac:dyDescent="0.25">
      <c r="A9" s="1222"/>
      <c r="B9" s="1221"/>
      <c r="C9" s="1220"/>
      <c r="D9" s="1220"/>
      <c r="E9" s="1225"/>
      <c r="F9" s="1220"/>
      <c r="G9" s="625" t="s">
        <v>54</v>
      </c>
      <c r="H9" s="625">
        <v>6.99</v>
      </c>
      <c r="I9" s="623">
        <f>H9*E8</f>
        <v>1.0590909090909091</v>
      </c>
      <c r="J9" s="625">
        <v>4.4999999999999998E-2</v>
      </c>
      <c r="K9" s="624">
        <f>IF(F8="N",0.48,0)</f>
        <v>0.48</v>
      </c>
      <c r="L9" s="623">
        <f t="shared" si="0"/>
        <v>2.4782727272727272E-2</v>
      </c>
    </row>
    <row r="10" spans="1:12" x14ac:dyDescent="0.25">
      <c r="A10" s="1221" t="s">
        <v>751</v>
      </c>
      <c r="B10" s="1223" t="s">
        <v>756</v>
      </c>
      <c r="C10" s="1219" t="s">
        <v>757</v>
      </c>
      <c r="D10" s="1219">
        <v>38.077457000000003</v>
      </c>
      <c r="E10" s="1225">
        <f>31200/43560</f>
        <v>0.71625344352617082</v>
      </c>
      <c r="F10" s="1219" t="s">
        <v>620</v>
      </c>
      <c r="G10" s="622" t="s">
        <v>56</v>
      </c>
      <c r="H10" s="622">
        <v>0.5</v>
      </c>
      <c r="I10" s="623">
        <f>H10*E10</f>
        <v>0.35812672176308541</v>
      </c>
      <c r="J10" s="622">
        <v>0.09</v>
      </c>
      <c r="K10" s="624">
        <f>IF(F10="N",0.48,0)</f>
        <v>0.48</v>
      </c>
      <c r="L10" s="623">
        <f t="shared" si="0"/>
        <v>1.6760330578512395E-2</v>
      </c>
    </row>
    <row r="11" spans="1:12" x14ac:dyDescent="0.25">
      <c r="A11" s="1222"/>
      <c r="B11" s="1221"/>
      <c r="C11" s="1220"/>
      <c r="D11" s="1220"/>
      <c r="E11" s="1225"/>
      <c r="F11" s="1220"/>
      <c r="G11" s="625" t="s">
        <v>54</v>
      </c>
      <c r="H11" s="625">
        <v>6.99</v>
      </c>
      <c r="I11" s="623">
        <f>H11*E10</f>
        <v>5.0066115702479346</v>
      </c>
      <c r="J11" s="625">
        <v>4.4999999999999998E-2</v>
      </c>
      <c r="K11" s="624">
        <f>IF(F10="N",0.48,0)</f>
        <v>0.48</v>
      </c>
      <c r="L11" s="623">
        <f t="shared" si="0"/>
        <v>0.11715471074380167</v>
      </c>
    </row>
    <row r="12" spans="1:12" x14ac:dyDescent="0.25">
      <c r="A12" s="1221" t="s">
        <v>758</v>
      </c>
      <c r="B12" s="1223" t="s">
        <v>759</v>
      </c>
      <c r="C12" s="1219" t="s">
        <v>760</v>
      </c>
      <c r="D12" s="1219">
        <v>38.040976999999998</v>
      </c>
      <c r="E12" s="1225">
        <f>28900/43560</f>
        <v>0.66345270890725438</v>
      </c>
      <c r="F12" s="1219" t="s">
        <v>612</v>
      </c>
      <c r="G12" s="622" t="s">
        <v>56</v>
      </c>
      <c r="H12" s="622">
        <v>0.5</v>
      </c>
      <c r="I12" s="623">
        <f>H12*E12</f>
        <v>0.33172635445362719</v>
      </c>
      <c r="J12" s="622">
        <v>0.09</v>
      </c>
      <c r="K12" s="624">
        <f>IF(F12="N",0.48,0)</f>
        <v>0</v>
      </c>
      <c r="L12" s="623">
        <f t="shared" si="0"/>
        <v>2.9855371900826447E-2</v>
      </c>
    </row>
    <row r="13" spans="1:12" x14ac:dyDescent="0.25">
      <c r="A13" s="1222"/>
      <c r="B13" s="1221"/>
      <c r="C13" s="1224"/>
      <c r="D13" s="1224"/>
      <c r="E13" s="1225"/>
      <c r="F13" s="1220"/>
      <c r="G13" s="625" t="s">
        <v>54</v>
      </c>
      <c r="H13" s="625">
        <v>6.99</v>
      </c>
      <c r="I13" s="623">
        <f>H13*E12</f>
        <v>4.6375344352617081</v>
      </c>
      <c r="J13" s="625">
        <v>4.4999999999999998E-2</v>
      </c>
      <c r="K13" s="624">
        <f>IF(F12="N",0.48,0)</f>
        <v>0</v>
      </c>
      <c r="L13" s="623">
        <f t="shared" si="0"/>
        <v>0.20868904958677686</v>
      </c>
    </row>
    <row r="14" spans="1:12" x14ac:dyDescent="0.25">
      <c r="A14" s="1221" t="s">
        <v>428</v>
      </c>
      <c r="B14" s="1223" t="s">
        <v>761</v>
      </c>
      <c r="C14" s="1219" t="s">
        <v>762</v>
      </c>
      <c r="D14" s="1219">
        <v>37.999139</v>
      </c>
      <c r="E14" s="1225">
        <f>6600/43560</f>
        <v>0.15151515151515152</v>
      </c>
      <c r="F14" s="1219" t="s">
        <v>612</v>
      </c>
      <c r="G14" s="622" t="s">
        <v>56</v>
      </c>
      <c r="H14" s="622">
        <v>0.5</v>
      </c>
      <c r="I14" s="623">
        <f>H14*E14</f>
        <v>7.575757575757576E-2</v>
      </c>
      <c r="J14" s="622">
        <v>0.09</v>
      </c>
      <c r="K14" s="624">
        <f>IF(F14="N",0.48,0)</f>
        <v>0</v>
      </c>
      <c r="L14" s="623">
        <f t="shared" si="0"/>
        <v>6.8181818181818179E-3</v>
      </c>
    </row>
    <row r="15" spans="1:12" x14ac:dyDescent="0.25">
      <c r="A15" s="1222"/>
      <c r="B15" s="1221"/>
      <c r="C15" s="1224"/>
      <c r="D15" s="1224"/>
      <c r="E15" s="1225"/>
      <c r="F15" s="1220"/>
      <c r="G15" s="625" t="s">
        <v>54</v>
      </c>
      <c r="H15" s="625">
        <v>6.99</v>
      </c>
      <c r="I15" s="623">
        <f>H15*E14</f>
        <v>1.0590909090909091</v>
      </c>
      <c r="J15" s="625">
        <v>4.4999999999999998E-2</v>
      </c>
      <c r="K15" s="624">
        <f>IF(F14="N",0.48,0)</f>
        <v>0</v>
      </c>
      <c r="L15" s="623">
        <f t="shared" si="0"/>
        <v>4.7659090909090908E-2</v>
      </c>
    </row>
    <row r="16" spans="1:12" x14ac:dyDescent="0.25">
      <c r="A16" s="1221" t="s">
        <v>428</v>
      </c>
      <c r="B16" s="1223" t="s">
        <v>763</v>
      </c>
      <c r="C16" s="1219" t="s">
        <v>764</v>
      </c>
      <c r="D16" s="1219">
        <v>38.000321999999997</v>
      </c>
      <c r="E16" s="1225">
        <f>30100/43560</f>
        <v>0.69100091827364551</v>
      </c>
      <c r="F16" s="1219" t="s">
        <v>612</v>
      </c>
      <c r="G16" s="622" t="s">
        <v>56</v>
      </c>
      <c r="H16" s="622">
        <v>0.5</v>
      </c>
      <c r="I16" s="623">
        <f>H16*E16</f>
        <v>0.34550045913682276</v>
      </c>
      <c r="J16" s="622">
        <v>0.09</v>
      </c>
      <c r="K16" s="624">
        <f>IF(F16="N",0.48,0)</f>
        <v>0</v>
      </c>
      <c r="L16" s="623">
        <f t="shared" si="0"/>
        <v>3.1095041322314047E-2</v>
      </c>
    </row>
    <row r="17" spans="1:12" x14ac:dyDescent="0.25">
      <c r="A17" s="1222"/>
      <c r="B17" s="1221"/>
      <c r="C17" s="1224"/>
      <c r="D17" s="1224"/>
      <c r="E17" s="1225"/>
      <c r="F17" s="1220"/>
      <c r="G17" s="625" t="s">
        <v>54</v>
      </c>
      <c r="H17" s="625">
        <v>6.99</v>
      </c>
      <c r="I17" s="623">
        <f>H17*E16</f>
        <v>4.8300964187327819</v>
      </c>
      <c r="J17" s="625">
        <v>4.4999999999999998E-2</v>
      </c>
      <c r="K17" s="624">
        <f>IF(F16="N",0.48,0)</f>
        <v>0</v>
      </c>
      <c r="L17" s="623">
        <f t="shared" si="0"/>
        <v>0.21735433884297517</v>
      </c>
    </row>
    <row r="18" spans="1:12" x14ac:dyDescent="0.25">
      <c r="A18" s="1221" t="s">
        <v>765</v>
      </c>
      <c r="B18" s="1223" t="s">
        <v>766</v>
      </c>
      <c r="C18" s="1219" t="s">
        <v>767</v>
      </c>
      <c r="D18" s="1219" t="s">
        <v>768</v>
      </c>
      <c r="E18" s="1225">
        <f>33000/43560</f>
        <v>0.75757575757575757</v>
      </c>
      <c r="F18" s="1219" t="s">
        <v>620</v>
      </c>
      <c r="G18" s="622" t="s">
        <v>56</v>
      </c>
      <c r="H18" s="622">
        <v>0.5</v>
      </c>
      <c r="I18" s="623">
        <f>H18*E18</f>
        <v>0.37878787878787878</v>
      </c>
      <c r="J18" s="622">
        <v>0.09</v>
      </c>
      <c r="K18" s="624">
        <f>IF(F18="N",0.48,0)</f>
        <v>0.48</v>
      </c>
      <c r="L18" s="623">
        <f t="shared" si="0"/>
        <v>1.7727272727272727E-2</v>
      </c>
    </row>
    <row r="19" spans="1:12" x14ac:dyDescent="0.25">
      <c r="A19" s="1222"/>
      <c r="B19" s="1221"/>
      <c r="C19" s="1224"/>
      <c r="D19" s="1224"/>
      <c r="E19" s="1225"/>
      <c r="F19" s="1220"/>
      <c r="G19" s="625" t="s">
        <v>54</v>
      </c>
      <c r="H19" s="625">
        <v>6.99</v>
      </c>
      <c r="I19" s="623">
        <f>H19*E18</f>
        <v>5.2954545454545459</v>
      </c>
      <c r="J19" s="625">
        <v>4.4999999999999998E-2</v>
      </c>
      <c r="K19" s="624">
        <f>IF(F18="N",0.48,0)</f>
        <v>0.48</v>
      </c>
      <c r="L19" s="623">
        <f t="shared" si="0"/>
        <v>0.12391363636363638</v>
      </c>
    </row>
    <row r="20" spans="1:12" x14ac:dyDescent="0.25">
      <c r="A20" s="1221" t="s">
        <v>769</v>
      </c>
      <c r="B20" s="1223" t="s">
        <v>770</v>
      </c>
      <c r="C20" s="1219" t="s">
        <v>771</v>
      </c>
      <c r="D20" s="1219">
        <v>38.053659000000003</v>
      </c>
      <c r="E20" s="1225">
        <f>5000/43560</f>
        <v>0.1147842056932966</v>
      </c>
      <c r="F20" s="1219" t="s">
        <v>620</v>
      </c>
      <c r="G20" s="622" t="s">
        <v>56</v>
      </c>
      <c r="H20" s="622">
        <v>0.5</v>
      </c>
      <c r="I20" s="623">
        <f>H20*E20</f>
        <v>5.73921028466483E-2</v>
      </c>
      <c r="J20" s="622">
        <v>0.09</v>
      </c>
      <c r="K20" s="624">
        <f>IF(F20="N",0.48,0)</f>
        <v>0.48</v>
      </c>
      <c r="L20" s="623">
        <f t="shared" si="0"/>
        <v>2.6859504132231405E-3</v>
      </c>
    </row>
    <row r="21" spans="1:12" x14ac:dyDescent="0.25">
      <c r="A21" s="1222"/>
      <c r="B21" s="1221"/>
      <c r="C21" s="1224"/>
      <c r="D21" s="1224"/>
      <c r="E21" s="1225"/>
      <c r="F21" s="1220"/>
      <c r="G21" s="625" t="s">
        <v>54</v>
      </c>
      <c r="H21" s="625">
        <v>6.99</v>
      </c>
      <c r="I21" s="623">
        <f>H21*E20</f>
        <v>0.80234159779614322</v>
      </c>
      <c r="J21" s="625">
        <v>4.4999999999999998E-2</v>
      </c>
      <c r="K21" s="624">
        <f>IF(F20="N",0.48,0)</f>
        <v>0.48</v>
      </c>
      <c r="L21" s="623">
        <f t="shared" si="0"/>
        <v>1.8774793388429752E-2</v>
      </c>
    </row>
    <row r="22" spans="1:12" x14ac:dyDescent="0.25">
      <c r="A22" s="626" t="s">
        <v>772</v>
      </c>
      <c r="B22" s="627">
        <f>SUMIF(G:G,"=Nitrogen",L:L)</f>
        <v>0.8888131611570248</v>
      </c>
      <c r="C22" s="202"/>
      <c r="D22" s="202"/>
      <c r="E22" s="202"/>
      <c r="F22" s="202"/>
      <c r="G22" s="202"/>
      <c r="H22" s="202"/>
      <c r="I22" s="202"/>
      <c r="J22" s="202"/>
      <c r="K22" s="202"/>
      <c r="L22" s="202"/>
    </row>
    <row r="23" spans="1:12" x14ac:dyDescent="0.25">
      <c r="A23" s="626" t="s">
        <v>773</v>
      </c>
      <c r="B23" s="627">
        <f>SUMIF(G:G,"=Phosphorus",L:L)</f>
        <v>0.12715495867768595</v>
      </c>
      <c r="C23" s="202"/>
      <c r="D23" s="202"/>
      <c r="E23" s="202"/>
      <c r="F23" s="202"/>
      <c r="G23" s="202"/>
      <c r="H23" s="202"/>
      <c r="I23" s="202"/>
      <c r="J23" s="202"/>
      <c r="K23" s="202"/>
      <c r="L23" s="202"/>
    </row>
    <row r="24" spans="1:12" x14ac:dyDescent="0.25">
      <c r="A24" s="626" t="s">
        <v>774</v>
      </c>
      <c r="B24" s="626">
        <f>SUM(E6:E21)</f>
        <v>4.043847566574839</v>
      </c>
      <c r="C24" s="202"/>
      <c r="D24" s="202"/>
      <c r="E24" s="202"/>
      <c r="F24" s="202"/>
      <c r="G24" s="202"/>
      <c r="H24" s="202"/>
      <c r="I24" s="202"/>
      <c r="J24" s="202"/>
      <c r="K24" s="202"/>
      <c r="L24" s="202"/>
    </row>
    <row r="42" spans="1:12" x14ac:dyDescent="0.25">
      <c r="A42" t="s">
        <v>775</v>
      </c>
      <c r="E42" t="s">
        <v>758</v>
      </c>
      <c r="H42" t="s">
        <v>428</v>
      </c>
      <c r="K42" t="s">
        <v>618</v>
      </c>
    </row>
    <row r="43" spans="1:12" x14ac:dyDescent="0.25">
      <c r="A43" t="s">
        <v>776</v>
      </c>
      <c r="E43" t="s">
        <v>777</v>
      </c>
      <c r="H43" t="s">
        <v>777</v>
      </c>
      <c r="K43" t="s">
        <v>776</v>
      </c>
    </row>
    <row r="44" spans="1:12" x14ac:dyDescent="0.25">
      <c r="A44" t="s">
        <v>778</v>
      </c>
      <c r="B44" t="s">
        <v>779</v>
      </c>
      <c r="C44" t="s">
        <v>780</v>
      </c>
      <c r="E44" t="s">
        <v>778</v>
      </c>
      <c r="F44" t="s">
        <v>779</v>
      </c>
      <c r="H44" t="s">
        <v>778</v>
      </c>
      <c r="I44" t="s">
        <v>779</v>
      </c>
      <c r="K44" t="s">
        <v>778</v>
      </c>
      <c r="L44" t="s">
        <v>779</v>
      </c>
    </row>
    <row r="45" spans="1:12" x14ac:dyDescent="0.25">
      <c r="A45" s="618" t="s">
        <v>781</v>
      </c>
      <c r="B45" s="618">
        <v>79500</v>
      </c>
      <c r="C45" s="618">
        <f>B45/43560</f>
        <v>1.8250688705234159</v>
      </c>
      <c r="D45" s="618"/>
      <c r="E45" t="s">
        <v>759</v>
      </c>
      <c r="F45" s="302">
        <v>28900</v>
      </c>
      <c r="H45" s="618" t="s">
        <v>759</v>
      </c>
      <c r="I45" s="618">
        <v>98600</v>
      </c>
      <c r="K45" s="618" t="s">
        <v>782</v>
      </c>
      <c r="L45" s="618">
        <v>62000</v>
      </c>
    </row>
    <row r="46" spans="1:12" x14ac:dyDescent="0.25">
      <c r="A46" t="s">
        <v>752</v>
      </c>
      <c r="B46">
        <v>34750</v>
      </c>
      <c r="C46" s="618">
        <f t="shared" ref="C46:C52" si="1">B46/43560</f>
        <v>0.79775022956841135</v>
      </c>
      <c r="H46" s="618" t="s">
        <v>783</v>
      </c>
      <c r="I46" s="618">
        <v>61600</v>
      </c>
      <c r="K46" s="618" t="s">
        <v>784</v>
      </c>
      <c r="L46" s="618">
        <v>47500</v>
      </c>
    </row>
    <row r="47" spans="1:12" x14ac:dyDescent="0.25">
      <c r="A47" s="618" t="s">
        <v>785</v>
      </c>
      <c r="B47" s="618">
        <v>64000</v>
      </c>
      <c r="C47" s="618">
        <f t="shared" si="1"/>
        <v>1.4692378328741964</v>
      </c>
      <c r="D47" s="618"/>
      <c r="H47" s="618" t="s">
        <v>786</v>
      </c>
      <c r="I47" s="618">
        <v>90300</v>
      </c>
      <c r="K47" s="618" t="s">
        <v>787</v>
      </c>
      <c r="L47" s="618">
        <v>72500</v>
      </c>
    </row>
    <row r="48" spans="1:12" x14ac:dyDescent="0.25">
      <c r="A48" s="618" t="s">
        <v>788</v>
      </c>
      <c r="B48" s="618">
        <v>64000</v>
      </c>
      <c r="C48" s="618">
        <f t="shared" si="1"/>
        <v>1.4692378328741964</v>
      </c>
      <c r="D48" s="618"/>
      <c r="H48" s="618" t="s">
        <v>789</v>
      </c>
      <c r="I48" s="618">
        <v>69500</v>
      </c>
      <c r="K48" s="618" t="s">
        <v>790</v>
      </c>
      <c r="L48" s="618">
        <v>72500</v>
      </c>
    </row>
    <row r="49" spans="1:12" x14ac:dyDescent="0.25">
      <c r="A49" t="s">
        <v>754</v>
      </c>
      <c r="B49">
        <v>6600</v>
      </c>
      <c r="C49" s="618">
        <f t="shared" si="1"/>
        <v>0.15151515151515152</v>
      </c>
      <c r="H49" t="s">
        <v>761</v>
      </c>
      <c r="I49">
        <v>6600</v>
      </c>
      <c r="K49" s="618" t="s">
        <v>791</v>
      </c>
      <c r="L49" s="618">
        <v>98600</v>
      </c>
    </row>
    <row r="50" spans="1:12" x14ac:dyDescent="0.25">
      <c r="A50" s="618" t="s">
        <v>792</v>
      </c>
      <c r="B50" s="618">
        <v>73400</v>
      </c>
      <c r="C50" s="618">
        <f t="shared" si="1"/>
        <v>1.685032139577594</v>
      </c>
      <c r="D50" s="618"/>
      <c r="H50" s="618" t="s">
        <v>793</v>
      </c>
      <c r="I50" s="618">
        <v>75200</v>
      </c>
      <c r="K50" s="618" t="s">
        <v>794</v>
      </c>
      <c r="L50" s="618">
        <v>63000</v>
      </c>
    </row>
    <row r="51" spans="1:12" x14ac:dyDescent="0.25">
      <c r="A51" t="s">
        <v>756</v>
      </c>
      <c r="B51">
        <v>31200</v>
      </c>
      <c r="C51" s="618">
        <f t="shared" si="1"/>
        <v>0.71625344352617082</v>
      </c>
      <c r="H51" t="s">
        <v>763</v>
      </c>
      <c r="I51">
        <v>30100</v>
      </c>
      <c r="K51" t="s">
        <v>766</v>
      </c>
      <c r="L51">
        <v>33000</v>
      </c>
    </row>
    <row r="52" spans="1:12" x14ac:dyDescent="0.25">
      <c r="A52" s="618" t="s">
        <v>795</v>
      </c>
      <c r="B52" s="618">
        <v>83000</v>
      </c>
      <c r="C52" s="618">
        <f t="shared" si="1"/>
        <v>1.9054178145087235</v>
      </c>
      <c r="D52" s="618"/>
      <c r="H52" s="618" t="s">
        <v>796</v>
      </c>
      <c r="I52" s="618">
        <v>77400</v>
      </c>
      <c r="K52" t="s">
        <v>770</v>
      </c>
      <c r="L52">
        <v>5000</v>
      </c>
    </row>
    <row r="53" spans="1:12" x14ac:dyDescent="0.25">
      <c r="A53" t="str">
        <f>A42</f>
        <v>Albemarle High School</v>
      </c>
      <c r="E53" t="str">
        <f>E42</f>
        <v>Burley Middle School</v>
      </c>
      <c r="H53" t="str">
        <f>H42</f>
        <v>Monticello High School</v>
      </c>
      <c r="K53" t="str">
        <f>K42</f>
        <v>Western Albemarle High School</v>
      </c>
    </row>
    <row r="54" spans="1:12" x14ac:dyDescent="0.25">
      <c r="A54" s="619" t="s">
        <v>797</v>
      </c>
      <c r="B54" s="17">
        <f>SUMIF(B45:B52,"&lt;43560",B45:B52)/43560</f>
        <v>1.6655188246097337</v>
      </c>
      <c r="C54" s="17"/>
      <c r="D54" s="17"/>
      <c r="E54" s="619" t="s">
        <v>797</v>
      </c>
      <c r="F54" s="17">
        <f>SUMIF(F45:F52,"&lt;43560",F45:F52)/43560</f>
        <v>0.66345270890725438</v>
      </c>
      <c r="H54" s="619" t="s">
        <v>797</v>
      </c>
      <c r="I54" s="17">
        <f>SUMIF(I46:I52,"&lt;43560",I46:I52)/43560</f>
        <v>0.84251606978879701</v>
      </c>
      <c r="K54" s="619" t="s">
        <v>797</v>
      </c>
      <c r="L54" s="17">
        <f>SUMIF(L46:L52,"&lt;43560",L46:L52)/43560</f>
        <v>0.87235996326905418</v>
      </c>
    </row>
    <row r="55" spans="1:12" x14ac:dyDescent="0.25">
      <c r="A55" t="str">
        <f>A43</f>
        <v>unregulated</v>
      </c>
      <c r="E55" t="str">
        <f>E43</f>
        <v>regulated</v>
      </c>
      <c r="H55" t="str">
        <f>H43</f>
        <v>regulated</v>
      </c>
      <c r="K55" t="str">
        <f>K43</f>
        <v>unregulated</v>
      </c>
    </row>
  </sheetData>
  <mergeCells count="48">
    <mergeCell ref="F6:F7"/>
    <mergeCell ref="E6:E7"/>
    <mergeCell ref="A8:A9"/>
    <mergeCell ref="E8:E9"/>
    <mergeCell ref="A10:A11"/>
    <mergeCell ref="A6:A7"/>
    <mergeCell ref="E10:E11"/>
    <mergeCell ref="C6:C7"/>
    <mergeCell ref="D6:D7"/>
    <mergeCell ref="C8:C9"/>
    <mergeCell ref="D8:D9"/>
    <mergeCell ref="C10:C11"/>
    <mergeCell ref="B6:B7"/>
    <mergeCell ref="B8:B9"/>
    <mergeCell ref="B10:B11"/>
    <mergeCell ref="D10:D11"/>
    <mergeCell ref="B12:B13"/>
    <mergeCell ref="C12:C13"/>
    <mergeCell ref="D12:D13"/>
    <mergeCell ref="E12:E13"/>
    <mergeCell ref="A14:A15"/>
    <mergeCell ref="B14:B15"/>
    <mergeCell ref="C14:C15"/>
    <mergeCell ref="D14:D15"/>
    <mergeCell ref="E14:E15"/>
    <mergeCell ref="A12:A13"/>
    <mergeCell ref="A16:A17"/>
    <mergeCell ref="B16:B17"/>
    <mergeCell ref="C16:C17"/>
    <mergeCell ref="D16:D17"/>
    <mergeCell ref="E16:E17"/>
    <mergeCell ref="F8:F9"/>
    <mergeCell ref="F10:F11"/>
    <mergeCell ref="F12:F13"/>
    <mergeCell ref="F14:F15"/>
    <mergeCell ref="F16:F17"/>
    <mergeCell ref="F20:F21"/>
    <mergeCell ref="A18:A19"/>
    <mergeCell ref="B18:B19"/>
    <mergeCell ref="C18:C19"/>
    <mergeCell ref="D18:D19"/>
    <mergeCell ref="E18:E19"/>
    <mergeCell ref="F18:F19"/>
    <mergeCell ref="A20:A21"/>
    <mergeCell ref="B20:B21"/>
    <mergeCell ref="C20:C21"/>
    <mergeCell ref="D20:D21"/>
    <mergeCell ref="E20:E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79"/>
  <sheetViews>
    <sheetView workbookViewId="0"/>
  </sheetViews>
  <sheetFormatPr defaultRowHeight="15" x14ac:dyDescent="0.25"/>
  <cols>
    <col min="1" max="1" width="21" customWidth="1"/>
    <col min="2" max="2" width="40.7109375" customWidth="1"/>
    <col min="3" max="3" width="40.140625" customWidth="1"/>
    <col min="4" max="4" width="36.42578125" customWidth="1"/>
    <col min="5" max="5" width="30.140625" customWidth="1"/>
    <col min="6" max="6" width="39.42578125" customWidth="1"/>
    <col min="7" max="7" width="30.42578125" customWidth="1"/>
    <col min="8" max="8" width="29.140625" customWidth="1"/>
    <col min="9" max="9" width="24.5703125" customWidth="1"/>
    <col min="10" max="10" width="23.42578125" customWidth="1"/>
    <col min="11" max="11" width="20.85546875" customWidth="1"/>
    <col min="12" max="12" width="50.7109375" customWidth="1"/>
    <col min="13" max="13" width="39.85546875" customWidth="1"/>
    <col min="14" max="17" width="8.85546875" customWidth="1"/>
  </cols>
  <sheetData>
    <row r="1" spans="1:14" x14ac:dyDescent="0.25">
      <c r="A1" s="202" t="s">
        <v>798</v>
      </c>
      <c r="B1" s="210" t="s">
        <v>799</v>
      </c>
      <c r="C1" s="211" t="s">
        <v>800</v>
      </c>
      <c r="D1" s="223" t="s">
        <v>801</v>
      </c>
      <c r="E1" s="224" t="s">
        <v>802</v>
      </c>
      <c r="F1" s="224" t="s">
        <v>803</v>
      </c>
      <c r="G1" s="223" t="s">
        <v>804</v>
      </c>
      <c r="H1" s="241" t="s">
        <v>805</v>
      </c>
      <c r="I1" s="242" t="s">
        <v>236</v>
      </c>
      <c r="J1" s="207"/>
    </row>
    <row r="2" spans="1:14" ht="16.5" customHeight="1" x14ac:dyDescent="0.25">
      <c r="A2" s="202" t="s">
        <v>806</v>
      </c>
      <c r="B2" s="212" t="s">
        <v>530</v>
      </c>
      <c r="C2" s="213">
        <v>0.4</v>
      </c>
      <c r="D2" s="225" t="s">
        <v>277</v>
      </c>
      <c r="E2" s="226">
        <v>0.45</v>
      </c>
      <c r="F2" s="248">
        <v>0.2</v>
      </c>
      <c r="G2" s="248">
        <v>0.6</v>
      </c>
      <c r="H2" s="243" t="s">
        <v>807</v>
      </c>
      <c r="I2" s="250">
        <v>0.5</v>
      </c>
      <c r="J2" s="72"/>
      <c r="K2" s="85"/>
      <c r="L2" s="86"/>
      <c r="M2" s="86"/>
      <c r="N2" s="86"/>
    </row>
    <row r="3" spans="1:14" x14ac:dyDescent="0.25">
      <c r="A3" s="202" t="s">
        <v>806</v>
      </c>
      <c r="B3" s="212" t="s">
        <v>808</v>
      </c>
      <c r="C3" s="213">
        <v>0.5</v>
      </c>
      <c r="D3" s="225"/>
      <c r="E3" s="226"/>
      <c r="F3" s="248"/>
      <c r="G3" s="248"/>
      <c r="H3" s="243" t="s">
        <v>809</v>
      </c>
      <c r="I3" s="250">
        <v>0.75</v>
      </c>
      <c r="J3" s="72"/>
      <c r="K3" s="85"/>
      <c r="L3" s="86"/>
      <c r="M3" s="86"/>
      <c r="N3" s="86"/>
    </row>
    <row r="4" spans="1:14" ht="30" x14ac:dyDescent="0.25">
      <c r="A4" s="202" t="s">
        <v>806</v>
      </c>
      <c r="B4" s="212" t="s">
        <v>276</v>
      </c>
      <c r="C4" s="213">
        <v>0.65</v>
      </c>
      <c r="D4" s="225"/>
      <c r="E4" s="226"/>
      <c r="F4" s="248"/>
      <c r="G4" s="248"/>
      <c r="H4" s="243" t="s">
        <v>810</v>
      </c>
      <c r="I4" s="251">
        <v>0.5</v>
      </c>
      <c r="J4" s="72"/>
      <c r="K4" s="85"/>
      <c r="L4" s="86"/>
      <c r="M4" s="86"/>
      <c r="N4" s="86"/>
    </row>
    <row r="5" spans="1:14" ht="30" x14ac:dyDescent="0.25">
      <c r="A5" s="205" t="s">
        <v>806</v>
      </c>
      <c r="B5" s="214" t="s">
        <v>811</v>
      </c>
      <c r="C5" s="215">
        <v>0.3</v>
      </c>
      <c r="D5" s="227"/>
      <c r="E5" s="228"/>
      <c r="F5" s="249"/>
      <c r="G5" s="249"/>
      <c r="H5" s="244" t="s">
        <v>812</v>
      </c>
      <c r="I5" s="252">
        <v>0.75</v>
      </c>
      <c r="J5" s="72"/>
      <c r="K5" s="85"/>
      <c r="L5" s="86"/>
      <c r="M5" s="86"/>
      <c r="N5" s="86"/>
    </row>
    <row r="6" spans="1:14" ht="30" x14ac:dyDescent="0.25">
      <c r="A6" s="202" t="s">
        <v>293</v>
      </c>
      <c r="B6" s="212" t="s">
        <v>358</v>
      </c>
      <c r="C6" s="213">
        <v>0.35</v>
      </c>
      <c r="D6" s="225" t="s">
        <v>359</v>
      </c>
      <c r="E6" s="226">
        <v>0.2</v>
      </c>
      <c r="F6" s="248">
        <v>0.2</v>
      </c>
      <c r="G6" s="248">
        <v>0.6</v>
      </c>
      <c r="H6" s="243" t="s">
        <v>813</v>
      </c>
      <c r="I6" s="251">
        <v>0.15</v>
      </c>
      <c r="J6" s="72"/>
      <c r="K6" s="85"/>
      <c r="L6" s="86"/>
      <c r="M6" s="86"/>
      <c r="N6" s="86"/>
    </row>
    <row r="7" spans="1:14" ht="30" x14ac:dyDescent="0.25">
      <c r="A7" s="202" t="s">
        <v>293</v>
      </c>
      <c r="B7" s="212" t="s">
        <v>364</v>
      </c>
      <c r="C7" s="213">
        <v>0.5</v>
      </c>
      <c r="D7" s="225" t="s">
        <v>665</v>
      </c>
      <c r="E7" s="226">
        <v>0.1</v>
      </c>
      <c r="F7" s="248">
        <v>0.05</v>
      </c>
      <c r="G7" s="248">
        <v>0.1</v>
      </c>
      <c r="H7" s="243" t="s">
        <v>814</v>
      </c>
      <c r="I7" s="251">
        <v>0.31</v>
      </c>
      <c r="J7" s="72"/>
      <c r="K7" s="85"/>
      <c r="L7" s="86"/>
      <c r="M7" s="86"/>
      <c r="N7" s="86"/>
    </row>
    <row r="8" spans="1:14" x14ac:dyDescent="0.25">
      <c r="A8" s="205" t="s">
        <v>293</v>
      </c>
      <c r="B8" s="214"/>
      <c r="C8" s="216"/>
      <c r="D8" s="227" t="s">
        <v>615</v>
      </c>
      <c r="E8" s="228">
        <v>0.1</v>
      </c>
      <c r="F8" s="249">
        <v>0.05</v>
      </c>
      <c r="G8" s="249">
        <v>0.1</v>
      </c>
      <c r="H8" s="244"/>
      <c r="I8" s="252"/>
      <c r="J8" s="72"/>
      <c r="K8" s="85"/>
      <c r="L8" s="86"/>
      <c r="M8" s="86"/>
      <c r="N8" s="86"/>
    </row>
    <row r="9" spans="1:14" x14ac:dyDescent="0.25">
      <c r="A9" s="202" t="s">
        <v>281</v>
      </c>
      <c r="B9" s="212" t="s">
        <v>343</v>
      </c>
      <c r="C9" s="213">
        <v>0.5</v>
      </c>
      <c r="D9" s="225" t="s">
        <v>284</v>
      </c>
      <c r="E9" s="226">
        <v>0.45</v>
      </c>
      <c r="F9" s="248">
        <v>0.25</v>
      </c>
      <c r="G9" s="248">
        <v>0.55000000000000004</v>
      </c>
      <c r="H9" s="243" t="s">
        <v>815</v>
      </c>
      <c r="I9" s="251">
        <v>0.55000000000000004</v>
      </c>
      <c r="J9" s="72"/>
      <c r="K9" s="85"/>
      <c r="L9" s="86"/>
      <c r="M9" s="86"/>
      <c r="N9" s="86"/>
    </row>
    <row r="10" spans="1:14" x14ac:dyDescent="0.25">
      <c r="A10" s="202" t="s">
        <v>281</v>
      </c>
      <c r="B10" s="212" t="s">
        <v>283</v>
      </c>
      <c r="C10" s="213">
        <v>0.65</v>
      </c>
      <c r="D10" s="225" t="s">
        <v>315</v>
      </c>
      <c r="E10" s="226">
        <v>0.75</v>
      </c>
      <c r="F10" s="248">
        <v>0.7</v>
      </c>
      <c r="G10" s="248">
        <v>0.8</v>
      </c>
      <c r="H10" s="243" t="s">
        <v>816</v>
      </c>
      <c r="I10" s="251">
        <v>0.9</v>
      </c>
      <c r="J10" s="72"/>
      <c r="K10" s="85"/>
      <c r="L10" s="86"/>
      <c r="M10" s="86"/>
      <c r="N10" s="86"/>
    </row>
    <row r="11" spans="1:14" ht="15" customHeight="1" x14ac:dyDescent="0.25">
      <c r="A11" s="202" t="s">
        <v>281</v>
      </c>
      <c r="B11" s="212" t="s">
        <v>817</v>
      </c>
      <c r="C11" s="217">
        <v>0.5</v>
      </c>
      <c r="D11" s="225" t="s">
        <v>496</v>
      </c>
      <c r="E11" s="226">
        <v>0.85</v>
      </c>
      <c r="F11" s="248">
        <v>0.8</v>
      </c>
      <c r="G11" s="248">
        <v>0.9</v>
      </c>
      <c r="H11" s="243" t="s">
        <v>818</v>
      </c>
      <c r="I11" s="251">
        <v>0.55000000000000004</v>
      </c>
      <c r="K11" s="85"/>
      <c r="L11" s="86"/>
      <c r="M11" s="86"/>
      <c r="N11" s="86"/>
    </row>
    <row r="12" spans="1:14" ht="15" customHeight="1" x14ac:dyDescent="0.25">
      <c r="A12" s="205" t="s">
        <v>281</v>
      </c>
      <c r="B12" s="214" t="s">
        <v>819</v>
      </c>
      <c r="C12" s="215">
        <v>0.65</v>
      </c>
      <c r="D12" s="227"/>
      <c r="E12" s="228"/>
      <c r="F12" s="249"/>
      <c r="G12" s="249"/>
      <c r="H12" s="244"/>
      <c r="I12" s="252"/>
      <c r="K12" s="85"/>
      <c r="L12" s="86"/>
      <c r="M12" s="86"/>
      <c r="N12" s="86"/>
    </row>
    <row r="13" spans="1:14" x14ac:dyDescent="0.25">
      <c r="A13" s="202" t="s">
        <v>331</v>
      </c>
      <c r="B13" s="212" t="s">
        <v>337</v>
      </c>
      <c r="C13" s="213">
        <v>0.15</v>
      </c>
      <c r="D13" s="225" t="s">
        <v>334</v>
      </c>
      <c r="E13" s="226">
        <v>0.75</v>
      </c>
      <c r="F13" s="248">
        <v>0.7</v>
      </c>
      <c r="G13" s="248">
        <v>0.8</v>
      </c>
      <c r="H13" s="243" t="s">
        <v>820</v>
      </c>
      <c r="I13" s="251">
        <v>0.2</v>
      </c>
      <c r="K13" s="85"/>
      <c r="L13" s="86"/>
      <c r="M13" s="86"/>
      <c r="N13" s="86"/>
    </row>
    <row r="14" spans="1:14" x14ac:dyDescent="0.25">
      <c r="A14" s="202" t="s">
        <v>331</v>
      </c>
      <c r="B14" s="212" t="s">
        <v>367</v>
      </c>
      <c r="C14" s="213">
        <v>0.35</v>
      </c>
      <c r="D14" s="229"/>
      <c r="E14" s="226"/>
      <c r="F14" s="248"/>
      <c r="G14" s="248"/>
      <c r="H14" s="243" t="s">
        <v>821</v>
      </c>
      <c r="I14" s="251">
        <v>0.4</v>
      </c>
      <c r="K14" s="85"/>
      <c r="L14" s="86"/>
      <c r="M14" s="86"/>
      <c r="N14" s="86"/>
    </row>
    <row r="15" spans="1:14" x14ac:dyDescent="0.25">
      <c r="A15" s="202" t="s">
        <v>331</v>
      </c>
      <c r="B15" s="212" t="s">
        <v>333</v>
      </c>
      <c r="C15" s="213">
        <v>0.5</v>
      </c>
      <c r="D15" s="229"/>
      <c r="E15" s="226"/>
      <c r="F15" s="248"/>
      <c r="G15" s="248"/>
      <c r="H15" s="243" t="s">
        <v>822</v>
      </c>
      <c r="I15" s="251">
        <v>0.52</v>
      </c>
      <c r="K15" s="85"/>
      <c r="L15" s="86"/>
      <c r="M15" s="86"/>
      <c r="N15" s="86"/>
    </row>
    <row r="16" spans="1:14" x14ac:dyDescent="0.25">
      <c r="A16" s="205" t="s">
        <v>331</v>
      </c>
      <c r="B16" s="214" t="s">
        <v>823</v>
      </c>
      <c r="C16" s="216">
        <v>0.65</v>
      </c>
      <c r="D16" s="230"/>
      <c r="E16" s="228"/>
      <c r="F16" s="249"/>
      <c r="G16" s="249"/>
      <c r="H16" s="244" t="s">
        <v>824</v>
      </c>
      <c r="I16" s="252">
        <v>0.76</v>
      </c>
      <c r="K16" s="85"/>
      <c r="L16" s="86"/>
      <c r="M16" s="86"/>
      <c r="N16" s="86"/>
    </row>
    <row r="17" spans="1:14" ht="30" x14ac:dyDescent="0.25">
      <c r="A17" s="202" t="s">
        <v>373</v>
      </c>
      <c r="B17" s="212" t="s">
        <v>375</v>
      </c>
      <c r="C17" s="213">
        <v>0.5</v>
      </c>
      <c r="D17" s="225" t="s">
        <v>376</v>
      </c>
      <c r="E17" s="226">
        <v>0.85</v>
      </c>
      <c r="F17" s="248">
        <v>0.8</v>
      </c>
      <c r="G17" s="248">
        <v>0.95</v>
      </c>
      <c r="H17" s="243" t="s">
        <v>825</v>
      </c>
      <c r="I17" s="251">
        <v>0.63</v>
      </c>
      <c r="K17" s="85"/>
      <c r="L17" s="86"/>
      <c r="M17" s="86"/>
      <c r="N17" s="86"/>
    </row>
    <row r="18" spans="1:14" x14ac:dyDescent="0.25">
      <c r="A18" s="205" t="s">
        <v>373</v>
      </c>
      <c r="B18" s="214" t="s">
        <v>443</v>
      </c>
      <c r="C18" s="216">
        <v>0.65</v>
      </c>
      <c r="D18" s="227" t="s">
        <v>444</v>
      </c>
      <c r="E18" s="228">
        <v>0.85</v>
      </c>
      <c r="F18" s="249">
        <v>0.8</v>
      </c>
      <c r="G18" s="249">
        <v>0.95</v>
      </c>
      <c r="H18" s="244" t="s">
        <v>826</v>
      </c>
      <c r="I18" s="252">
        <v>0.93</v>
      </c>
      <c r="J18" s="72"/>
      <c r="K18" s="85"/>
      <c r="L18" s="86"/>
      <c r="M18" s="86"/>
      <c r="N18" s="86"/>
    </row>
    <row r="19" spans="1:14" ht="30" x14ac:dyDescent="0.25">
      <c r="A19" s="200" t="s">
        <v>506</v>
      </c>
      <c r="B19" s="212" t="s">
        <v>508</v>
      </c>
      <c r="C19" s="218">
        <v>0.65</v>
      </c>
      <c r="D19" s="225" t="s">
        <v>509</v>
      </c>
      <c r="E19" s="226">
        <v>0.6</v>
      </c>
      <c r="F19" s="248">
        <v>0.4</v>
      </c>
      <c r="G19" s="248">
        <v>0.8</v>
      </c>
      <c r="H19" s="243" t="s">
        <v>827</v>
      </c>
      <c r="I19" s="251">
        <v>0.6</v>
      </c>
      <c r="J19" s="72"/>
      <c r="K19" s="85"/>
      <c r="L19" s="86"/>
      <c r="M19" s="86"/>
      <c r="N19" s="86"/>
    </row>
    <row r="20" spans="1:14" ht="30" x14ac:dyDescent="0.25">
      <c r="A20" s="206" t="s">
        <v>506</v>
      </c>
      <c r="B20" s="214"/>
      <c r="C20" s="219"/>
      <c r="D20" s="227"/>
      <c r="E20" s="228"/>
      <c r="F20" s="249"/>
      <c r="G20" s="249"/>
      <c r="H20" s="244" t="s">
        <v>828</v>
      </c>
      <c r="I20" s="252">
        <v>0.65</v>
      </c>
      <c r="J20" s="72"/>
      <c r="K20" s="85"/>
      <c r="L20" s="86"/>
      <c r="M20" s="86"/>
      <c r="N20" s="86"/>
    </row>
    <row r="21" spans="1:14" ht="30" x14ac:dyDescent="0.25">
      <c r="A21" s="200" t="s">
        <v>535</v>
      </c>
      <c r="B21" s="212" t="s">
        <v>537</v>
      </c>
      <c r="C21" s="220" t="s">
        <v>537</v>
      </c>
      <c r="D21" s="225" t="s">
        <v>538</v>
      </c>
      <c r="E21" s="226">
        <v>0.2</v>
      </c>
      <c r="F21" s="248">
        <v>0.1</v>
      </c>
      <c r="G21" s="248">
        <v>0.55000000000000004</v>
      </c>
      <c r="H21" s="243" t="s">
        <v>829</v>
      </c>
      <c r="I21" s="250">
        <v>0.59</v>
      </c>
      <c r="J21" s="72"/>
      <c r="K21" s="85"/>
      <c r="L21" s="86"/>
      <c r="M21" s="86"/>
      <c r="N21" s="86"/>
    </row>
    <row r="22" spans="1:14" ht="30" x14ac:dyDescent="0.25">
      <c r="A22" s="200" t="s">
        <v>535</v>
      </c>
      <c r="B22" s="212" t="s">
        <v>537</v>
      </c>
      <c r="C22" s="220" t="s">
        <v>537</v>
      </c>
      <c r="D22" s="225" t="s">
        <v>830</v>
      </c>
      <c r="E22" s="226">
        <v>0.5</v>
      </c>
      <c r="F22" s="248">
        <v>0.45</v>
      </c>
      <c r="G22" s="248">
        <v>0.7</v>
      </c>
      <c r="H22" s="243" t="s">
        <v>831</v>
      </c>
      <c r="I22" s="250">
        <v>0.81</v>
      </c>
      <c r="K22" s="85"/>
      <c r="L22" s="86"/>
      <c r="M22" s="86"/>
      <c r="N22" s="86"/>
    </row>
    <row r="23" spans="1:14" ht="30" x14ac:dyDescent="0.25">
      <c r="A23" s="200" t="s">
        <v>535</v>
      </c>
      <c r="B23" s="212" t="s">
        <v>537</v>
      </c>
      <c r="C23" s="220" t="s">
        <v>537</v>
      </c>
      <c r="D23" s="225" t="s">
        <v>832</v>
      </c>
      <c r="E23" s="226">
        <v>0.8</v>
      </c>
      <c r="F23" s="248">
        <v>0.75</v>
      </c>
      <c r="G23" s="248">
        <v>0.85</v>
      </c>
      <c r="H23" s="243" t="s">
        <v>537</v>
      </c>
      <c r="I23" s="251" t="s">
        <v>537</v>
      </c>
      <c r="J23" s="73"/>
      <c r="K23" s="85"/>
      <c r="L23" s="86"/>
      <c r="M23" s="86"/>
      <c r="N23" s="86"/>
    </row>
    <row r="24" spans="1:14" ht="30" x14ac:dyDescent="0.25">
      <c r="A24" s="200" t="s">
        <v>535</v>
      </c>
      <c r="B24" s="212" t="s">
        <v>537</v>
      </c>
      <c r="C24" s="220" t="s">
        <v>537</v>
      </c>
      <c r="D24" s="225" t="s">
        <v>833</v>
      </c>
      <c r="E24" s="226">
        <v>0.2</v>
      </c>
      <c r="F24" s="248">
        <v>0.2</v>
      </c>
      <c r="G24" s="248">
        <v>0.55000000000000004</v>
      </c>
      <c r="H24" s="243" t="s">
        <v>537</v>
      </c>
      <c r="I24" s="251" t="s">
        <v>537</v>
      </c>
      <c r="J24" s="73"/>
      <c r="K24" s="85"/>
      <c r="L24" s="86"/>
      <c r="M24" s="86"/>
      <c r="N24" s="86"/>
    </row>
    <row r="25" spans="1:14" ht="30" x14ac:dyDescent="0.25">
      <c r="A25" s="200" t="s">
        <v>535</v>
      </c>
      <c r="B25" s="212" t="s">
        <v>537</v>
      </c>
      <c r="C25" s="220" t="s">
        <v>537</v>
      </c>
      <c r="D25" s="225" t="s">
        <v>834</v>
      </c>
      <c r="E25" s="226">
        <v>0.5</v>
      </c>
      <c r="F25" s="248">
        <v>0.5</v>
      </c>
      <c r="G25" s="248">
        <v>0.7</v>
      </c>
      <c r="H25" s="243" t="s">
        <v>537</v>
      </c>
      <c r="I25" s="251" t="s">
        <v>537</v>
      </c>
      <c r="J25" s="73"/>
      <c r="K25" s="85"/>
      <c r="L25" s="86"/>
      <c r="M25" s="86"/>
      <c r="N25" s="86"/>
    </row>
    <row r="26" spans="1:14" ht="26.45" customHeight="1" x14ac:dyDescent="0.25">
      <c r="A26" s="206" t="s">
        <v>535</v>
      </c>
      <c r="B26" s="214" t="s">
        <v>537</v>
      </c>
      <c r="C26" s="221" t="s">
        <v>537</v>
      </c>
      <c r="D26" s="227" t="s">
        <v>835</v>
      </c>
      <c r="E26" s="228">
        <v>0.8</v>
      </c>
      <c r="F26" s="249">
        <v>0.8</v>
      </c>
      <c r="G26" s="249">
        <v>0.85</v>
      </c>
      <c r="H26" s="244" t="s">
        <v>537</v>
      </c>
      <c r="I26" s="252" t="s">
        <v>537</v>
      </c>
      <c r="K26" s="85"/>
      <c r="L26" s="86"/>
      <c r="M26" s="86"/>
      <c r="N26" s="86"/>
    </row>
    <row r="27" spans="1:14" ht="30" x14ac:dyDescent="0.25">
      <c r="A27" s="200" t="s">
        <v>836</v>
      </c>
      <c r="B27" s="212" t="s">
        <v>537</v>
      </c>
      <c r="C27" s="220" t="s">
        <v>537</v>
      </c>
      <c r="D27" s="225" t="s">
        <v>837</v>
      </c>
      <c r="E27" s="226">
        <v>0.1</v>
      </c>
      <c r="F27" s="248">
        <v>0.1</v>
      </c>
      <c r="G27" s="248">
        <v>0.5</v>
      </c>
      <c r="H27" s="243" t="s">
        <v>838</v>
      </c>
      <c r="I27" s="251">
        <v>0.23</v>
      </c>
      <c r="K27" s="85"/>
      <c r="L27" s="86"/>
      <c r="M27" s="86"/>
      <c r="N27" s="86"/>
    </row>
    <row r="28" spans="1:14" ht="30" x14ac:dyDescent="0.25">
      <c r="A28" s="206" t="s">
        <v>836</v>
      </c>
      <c r="B28" s="214" t="s">
        <v>537</v>
      </c>
      <c r="C28" s="221" t="s">
        <v>537</v>
      </c>
      <c r="D28" s="227" t="s">
        <v>839</v>
      </c>
      <c r="E28" s="228">
        <v>0.45</v>
      </c>
      <c r="F28" s="249">
        <v>0.45</v>
      </c>
      <c r="G28" s="249">
        <v>0.7</v>
      </c>
      <c r="H28" s="244"/>
      <c r="I28" s="252"/>
      <c r="K28" s="85"/>
      <c r="L28" s="86"/>
      <c r="M28" s="86"/>
      <c r="N28" s="86"/>
    </row>
    <row r="29" spans="1:14" ht="30" x14ac:dyDescent="0.25">
      <c r="A29" s="206" t="s">
        <v>642</v>
      </c>
      <c r="B29" s="214" t="s">
        <v>537</v>
      </c>
      <c r="C29" s="222" t="s">
        <v>537</v>
      </c>
      <c r="D29" s="231" t="s">
        <v>537</v>
      </c>
      <c r="E29" s="232">
        <v>0</v>
      </c>
      <c r="F29" s="249" t="s">
        <v>537</v>
      </c>
      <c r="G29" s="249" t="s">
        <v>537</v>
      </c>
      <c r="H29" s="244" t="s">
        <v>840</v>
      </c>
      <c r="I29" s="253">
        <v>0.9</v>
      </c>
      <c r="K29" s="85"/>
      <c r="L29" s="86"/>
      <c r="M29" s="86"/>
      <c r="N29" s="86"/>
    </row>
    <row r="30" spans="1:14" x14ac:dyDescent="0.25">
      <c r="A30" s="200" t="s">
        <v>841</v>
      </c>
      <c r="B30" s="212" t="s">
        <v>537</v>
      </c>
      <c r="C30" s="220" t="s">
        <v>537</v>
      </c>
      <c r="D30" s="233" t="s">
        <v>537</v>
      </c>
      <c r="E30" s="234" t="s">
        <v>537</v>
      </c>
      <c r="F30" s="233" t="s">
        <v>537</v>
      </c>
      <c r="G30" s="233" t="s">
        <v>537</v>
      </c>
      <c r="H30" s="243" t="s">
        <v>842</v>
      </c>
      <c r="I30" s="251">
        <v>0.45</v>
      </c>
      <c r="K30" s="85"/>
      <c r="L30" s="86"/>
      <c r="M30" s="86"/>
      <c r="N30" s="86"/>
    </row>
    <row r="31" spans="1:14" x14ac:dyDescent="0.25">
      <c r="A31" s="206" t="s">
        <v>841</v>
      </c>
      <c r="B31" s="214" t="s">
        <v>537</v>
      </c>
      <c r="C31" s="221" t="s">
        <v>537</v>
      </c>
      <c r="D31" s="235" t="s">
        <v>537</v>
      </c>
      <c r="E31" s="236" t="s">
        <v>537</v>
      </c>
      <c r="F31" s="233" t="s">
        <v>537</v>
      </c>
      <c r="G31" s="233" t="s">
        <v>537</v>
      </c>
      <c r="H31" s="244" t="s">
        <v>843</v>
      </c>
      <c r="I31" s="252">
        <v>0.6</v>
      </c>
      <c r="K31" s="85"/>
      <c r="L31" s="86"/>
      <c r="M31" s="86"/>
      <c r="N31" s="86"/>
    </row>
    <row r="32" spans="1:14" x14ac:dyDescent="0.25">
      <c r="A32" s="200" t="s">
        <v>289</v>
      </c>
      <c r="B32" s="212" t="s">
        <v>537</v>
      </c>
      <c r="C32" s="220" t="s">
        <v>537</v>
      </c>
      <c r="D32" s="225"/>
      <c r="E32" s="237"/>
      <c r="F32" s="799"/>
      <c r="G32" s="799"/>
      <c r="H32" s="243" t="s">
        <v>844</v>
      </c>
      <c r="I32" s="254">
        <v>0.5</v>
      </c>
      <c r="K32" s="85"/>
      <c r="L32" s="86"/>
      <c r="M32" s="86"/>
      <c r="N32" s="86"/>
    </row>
    <row r="33" spans="1:14" ht="18" customHeight="1" x14ac:dyDescent="0.25">
      <c r="A33" s="200" t="s">
        <v>289</v>
      </c>
      <c r="B33" s="212" t="s">
        <v>537</v>
      </c>
      <c r="C33" s="220" t="s">
        <v>537</v>
      </c>
      <c r="D33" s="225"/>
      <c r="E33" s="237"/>
      <c r="F33" s="233"/>
      <c r="G33" s="233"/>
      <c r="H33" s="243" t="s">
        <v>845</v>
      </c>
      <c r="I33" s="254">
        <v>0.45</v>
      </c>
      <c r="K33" s="85"/>
      <c r="L33" s="86"/>
      <c r="M33" s="86"/>
      <c r="N33" s="86"/>
    </row>
    <row r="34" spans="1:14" x14ac:dyDescent="0.25">
      <c r="A34" s="200" t="s">
        <v>289</v>
      </c>
      <c r="B34" s="212" t="s">
        <v>537</v>
      </c>
      <c r="C34" s="220" t="s">
        <v>537</v>
      </c>
      <c r="D34" s="225"/>
      <c r="E34" s="237"/>
      <c r="F34" s="233"/>
      <c r="G34" s="233"/>
      <c r="H34" s="243" t="s">
        <v>846</v>
      </c>
      <c r="I34" s="254">
        <v>0.2</v>
      </c>
      <c r="K34" s="85"/>
      <c r="L34" s="86"/>
      <c r="M34" s="86"/>
      <c r="N34" s="86"/>
    </row>
    <row r="35" spans="1:14" ht="14.45" customHeight="1" x14ac:dyDescent="0.25">
      <c r="A35" s="200" t="s">
        <v>289</v>
      </c>
      <c r="B35" s="212" t="s">
        <v>537</v>
      </c>
      <c r="C35" s="220" t="s">
        <v>537</v>
      </c>
      <c r="D35" s="225" t="s">
        <v>439</v>
      </c>
      <c r="E35" s="226">
        <v>0.1</v>
      </c>
      <c r="F35" s="248">
        <v>0.05</v>
      </c>
      <c r="G35" s="248">
        <v>0.1</v>
      </c>
      <c r="H35" s="243" t="s">
        <v>847</v>
      </c>
      <c r="I35" s="254">
        <v>0.2</v>
      </c>
      <c r="K35" s="85"/>
      <c r="L35" s="86"/>
      <c r="M35" s="86"/>
      <c r="N35" s="86"/>
    </row>
    <row r="36" spans="1:14" ht="30" x14ac:dyDescent="0.25">
      <c r="A36" s="200" t="s">
        <v>289</v>
      </c>
      <c r="B36" s="212" t="s">
        <v>537</v>
      </c>
      <c r="C36" s="220" t="s">
        <v>537</v>
      </c>
      <c r="D36" s="238"/>
      <c r="E36" s="239"/>
      <c r="F36" s="238"/>
      <c r="G36" s="238"/>
      <c r="H36" s="243" t="s">
        <v>848</v>
      </c>
      <c r="I36" s="254">
        <v>0.2</v>
      </c>
      <c r="K36" s="85"/>
      <c r="L36" s="86"/>
      <c r="M36" s="86"/>
      <c r="N36" s="86"/>
    </row>
    <row r="37" spans="1:14" x14ac:dyDescent="0.25">
      <c r="A37" s="200" t="s">
        <v>289</v>
      </c>
      <c r="B37" s="212" t="s">
        <v>537</v>
      </c>
      <c r="C37" s="220" t="s">
        <v>537</v>
      </c>
      <c r="D37" s="238"/>
      <c r="E37" s="239"/>
      <c r="F37" s="238"/>
      <c r="G37" s="238"/>
      <c r="H37" s="245"/>
      <c r="I37" s="255"/>
      <c r="K37" s="85"/>
      <c r="L37" s="121"/>
      <c r="M37" s="121"/>
      <c r="N37" s="86"/>
    </row>
    <row r="38" spans="1:14" x14ac:dyDescent="0.25">
      <c r="A38" s="206" t="s">
        <v>289</v>
      </c>
      <c r="B38" s="212" t="s">
        <v>537</v>
      </c>
      <c r="C38" s="220" t="s">
        <v>537</v>
      </c>
      <c r="D38" s="173"/>
      <c r="E38" s="174"/>
      <c r="F38" s="173"/>
      <c r="G38" s="173"/>
      <c r="H38" s="246"/>
      <c r="I38" s="256"/>
      <c r="J38" s="85"/>
      <c r="K38" s="86"/>
      <c r="L38" s="86"/>
      <c r="M38" s="86"/>
    </row>
    <row r="42" spans="1:14" ht="35.450000000000003" customHeight="1" x14ac:dyDescent="0.25">
      <c r="A42" s="1230" t="s">
        <v>849</v>
      </c>
      <c r="B42" s="1230"/>
      <c r="C42" s="1230"/>
      <c r="D42" s="1230"/>
      <c r="E42" s="1230"/>
      <c r="F42" s="1230"/>
      <c r="G42" s="1230"/>
      <c r="H42" s="1230"/>
      <c r="I42" s="1230"/>
      <c r="J42" s="1230"/>
      <c r="K42" s="1230"/>
      <c r="L42" s="1230"/>
      <c r="M42" s="1230"/>
    </row>
    <row r="43" spans="1:14" x14ac:dyDescent="0.25">
      <c r="A43" s="203" t="s">
        <v>850</v>
      </c>
      <c r="B43" s="203" t="s">
        <v>274</v>
      </c>
      <c r="C43" s="203" t="s">
        <v>617</v>
      </c>
      <c r="D43" s="203" t="s">
        <v>293</v>
      </c>
      <c r="E43" s="203" t="s">
        <v>281</v>
      </c>
      <c r="F43" s="203" t="s">
        <v>331</v>
      </c>
      <c r="G43" s="203" t="s">
        <v>373</v>
      </c>
      <c r="H43" s="208" t="s">
        <v>506</v>
      </c>
      <c r="I43" s="208" t="s">
        <v>535</v>
      </c>
      <c r="J43" s="208" t="s">
        <v>836</v>
      </c>
      <c r="K43" s="208" t="s">
        <v>642</v>
      </c>
      <c r="L43" s="208" t="s">
        <v>841</v>
      </c>
      <c r="M43" s="208" t="s">
        <v>289</v>
      </c>
      <c r="N43" s="208" t="s">
        <v>851</v>
      </c>
    </row>
    <row r="44" spans="1:14" ht="150" x14ac:dyDescent="0.25">
      <c r="A44" s="202" t="s">
        <v>274</v>
      </c>
      <c r="B44" s="209" t="s">
        <v>530</v>
      </c>
      <c r="C44" s="209" t="s">
        <v>811</v>
      </c>
      <c r="D44" s="209" t="s">
        <v>358</v>
      </c>
      <c r="E44" s="209" t="s">
        <v>343</v>
      </c>
      <c r="F44" s="209" t="s">
        <v>337</v>
      </c>
      <c r="G44" s="209" t="s">
        <v>375</v>
      </c>
      <c r="H44" s="209" t="s">
        <v>508</v>
      </c>
      <c r="I44" s="209" t="s">
        <v>537</v>
      </c>
      <c r="J44" s="209" t="s">
        <v>537</v>
      </c>
      <c r="K44" s="209" t="s">
        <v>537</v>
      </c>
      <c r="L44" s="209" t="s">
        <v>537</v>
      </c>
      <c r="M44" s="240" t="s">
        <v>411</v>
      </c>
      <c r="N44" s="225" t="s">
        <v>852</v>
      </c>
    </row>
    <row r="45" spans="1:14" ht="45" x14ac:dyDescent="0.25">
      <c r="A45" s="202" t="s">
        <v>617</v>
      </c>
      <c r="B45" s="209" t="s">
        <v>808</v>
      </c>
      <c r="C45" s="233" t="s">
        <v>277</v>
      </c>
      <c r="D45" s="209" t="s">
        <v>364</v>
      </c>
      <c r="E45" s="209" t="s">
        <v>283</v>
      </c>
      <c r="F45" s="209" t="s">
        <v>367</v>
      </c>
      <c r="G45" s="209" t="s">
        <v>443</v>
      </c>
      <c r="H45" s="225" t="s">
        <v>509</v>
      </c>
      <c r="I45" s="225" t="s">
        <v>538</v>
      </c>
      <c r="J45" s="225" t="s">
        <v>837</v>
      </c>
      <c r="K45" s="233" t="s">
        <v>537</v>
      </c>
      <c r="L45" s="233" t="s">
        <v>537</v>
      </c>
      <c r="M45" s="240" t="s">
        <v>853</v>
      </c>
    </row>
    <row r="46" spans="1:14" ht="45" x14ac:dyDescent="0.25">
      <c r="A46" s="202" t="s">
        <v>293</v>
      </c>
      <c r="B46" s="209" t="s">
        <v>276</v>
      </c>
      <c r="C46" s="245" t="s">
        <v>810</v>
      </c>
      <c r="D46" s="225" t="s">
        <v>359</v>
      </c>
      <c r="E46" s="209" t="s">
        <v>817</v>
      </c>
      <c r="F46" s="209" t="s">
        <v>333</v>
      </c>
      <c r="G46" s="225" t="s">
        <v>376</v>
      </c>
      <c r="H46" s="243" t="s">
        <v>827</v>
      </c>
      <c r="I46" s="225" t="s">
        <v>830</v>
      </c>
      <c r="J46" s="225" t="s">
        <v>839</v>
      </c>
      <c r="K46" s="243" t="s">
        <v>840</v>
      </c>
      <c r="L46" s="243" t="s">
        <v>842</v>
      </c>
      <c r="M46" s="240" t="s">
        <v>854</v>
      </c>
    </row>
    <row r="47" spans="1:14" ht="45" x14ac:dyDescent="0.25">
      <c r="A47" s="202" t="s">
        <v>281</v>
      </c>
      <c r="B47" s="233" t="s">
        <v>277</v>
      </c>
      <c r="C47" s="245" t="s">
        <v>812</v>
      </c>
      <c r="D47" s="225" t="s">
        <v>665</v>
      </c>
      <c r="E47" s="209" t="s">
        <v>819</v>
      </c>
      <c r="F47" s="209" t="s">
        <v>823</v>
      </c>
      <c r="G47" s="225" t="s">
        <v>444</v>
      </c>
      <c r="H47" s="243" t="s">
        <v>828</v>
      </c>
      <c r="I47" s="225" t="s">
        <v>832</v>
      </c>
      <c r="J47" s="243" t="s">
        <v>838</v>
      </c>
      <c r="L47" s="243" t="s">
        <v>843</v>
      </c>
      <c r="M47" s="240" t="s">
        <v>855</v>
      </c>
    </row>
    <row r="48" spans="1:14" ht="45" x14ac:dyDescent="0.25">
      <c r="A48" s="202" t="s">
        <v>331</v>
      </c>
      <c r="B48" s="247" t="s">
        <v>807</v>
      </c>
      <c r="C48" s="202"/>
      <c r="D48" s="225" t="s">
        <v>615</v>
      </c>
      <c r="E48" s="225" t="s">
        <v>284</v>
      </c>
      <c r="F48" s="225" t="s">
        <v>334</v>
      </c>
      <c r="G48" s="243" t="s">
        <v>825</v>
      </c>
      <c r="I48" s="225" t="s">
        <v>833</v>
      </c>
      <c r="M48" s="240" t="s">
        <v>856</v>
      </c>
    </row>
    <row r="49" spans="1:13" ht="45" x14ac:dyDescent="0.25">
      <c r="A49" s="202" t="s">
        <v>373</v>
      </c>
      <c r="B49" s="245" t="s">
        <v>809</v>
      </c>
      <c r="C49" s="202"/>
      <c r="D49" s="243" t="s">
        <v>813</v>
      </c>
      <c r="E49" s="225" t="s">
        <v>315</v>
      </c>
      <c r="F49" s="243" t="s">
        <v>820</v>
      </c>
      <c r="G49" s="243" t="s">
        <v>826</v>
      </c>
      <c r="I49" s="225" t="s">
        <v>834</v>
      </c>
      <c r="M49" s="240" t="s">
        <v>857</v>
      </c>
    </row>
    <row r="50" spans="1:13" ht="45" x14ac:dyDescent="0.25">
      <c r="A50" s="200" t="s">
        <v>506</v>
      </c>
      <c r="D50" s="243" t="s">
        <v>814</v>
      </c>
      <c r="E50" s="225" t="s">
        <v>496</v>
      </c>
      <c r="F50" s="243" t="s">
        <v>821</v>
      </c>
      <c r="I50" s="225" t="s">
        <v>835</v>
      </c>
      <c r="M50" s="240" t="s">
        <v>526</v>
      </c>
    </row>
    <row r="51" spans="1:13" ht="30" x14ac:dyDescent="0.25">
      <c r="A51" s="200" t="s">
        <v>535</v>
      </c>
      <c r="E51" s="243" t="s">
        <v>815</v>
      </c>
      <c r="F51" s="243" t="s">
        <v>822</v>
      </c>
      <c r="I51" s="243" t="s">
        <v>829</v>
      </c>
      <c r="M51" s="225" t="s">
        <v>662</v>
      </c>
    </row>
    <row r="52" spans="1:13" ht="30" x14ac:dyDescent="0.25">
      <c r="A52" s="200" t="s">
        <v>836</v>
      </c>
      <c r="E52" s="243" t="s">
        <v>816</v>
      </c>
      <c r="F52" s="243" t="s">
        <v>824</v>
      </c>
      <c r="I52" s="243" t="s">
        <v>831</v>
      </c>
      <c r="M52" s="225" t="s">
        <v>858</v>
      </c>
    </row>
    <row r="53" spans="1:13" ht="30" x14ac:dyDescent="0.25">
      <c r="A53" s="200" t="s">
        <v>642</v>
      </c>
      <c r="E53" s="243" t="s">
        <v>818</v>
      </c>
      <c r="M53" s="225" t="s">
        <v>859</v>
      </c>
    </row>
    <row r="54" spans="1:13" x14ac:dyDescent="0.25">
      <c r="A54" s="200" t="s">
        <v>841</v>
      </c>
      <c r="M54" s="225" t="s">
        <v>439</v>
      </c>
    </row>
    <row r="55" spans="1:13" x14ac:dyDescent="0.25">
      <c r="A55" s="200" t="s">
        <v>289</v>
      </c>
      <c r="M55" s="243" t="s">
        <v>844</v>
      </c>
    </row>
    <row r="56" spans="1:13" x14ac:dyDescent="0.25">
      <c r="A56" s="200" t="s">
        <v>851</v>
      </c>
      <c r="M56" s="243" t="s">
        <v>845</v>
      </c>
    </row>
    <row r="57" spans="1:13" x14ac:dyDescent="0.25">
      <c r="A57" s="200"/>
      <c r="M57" s="243" t="s">
        <v>846</v>
      </c>
    </row>
    <row r="58" spans="1:13" x14ac:dyDescent="0.25">
      <c r="A58" s="1053"/>
      <c r="M58" s="243" t="s">
        <v>847</v>
      </c>
    </row>
    <row r="70" spans="1:6" x14ac:dyDescent="0.25">
      <c r="F70" s="287"/>
    </row>
    <row r="71" spans="1:6" x14ac:dyDescent="0.25">
      <c r="C71" s="287"/>
      <c r="E71" s="287"/>
      <c r="F71" s="1048"/>
    </row>
    <row r="72" spans="1:6" x14ac:dyDescent="0.25">
      <c r="C72" s="1048"/>
      <c r="E72" s="1048"/>
    </row>
    <row r="73" spans="1:6" x14ac:dyDescent="0.25">
      <c r="D73" s="287"/>
    </row>
    <row r="74" spans="1:6" x14ac:dyDescent="0.25">
      <c r="D74" s="1048"/>
    </row>
    <row r="76" spans="1:6" x14ac:dyDescent="0.25">
      <c r="A76" s="22"/>
    </row>
    <row r="77" spans="1:6" x14ac:dyDescent="0.25">
      <c r="B77" s="199"/>
    </row>
    <row r="78" spans="1:6" x14ac:dyDescent="0.25">
      <c r="A78" s="11"/>
      <c r="B78" s="201"/>
    </row>
    <row r="79" spans="1:6" x14ac:dyDescent="0.25">
      <c r="A79" s="5"/>
    </row>
  </sheetData>
  <mergeCells count="1">
    <mergeCell ref="A42:M42"/>
  </mergeCells>
  <pageMargins left="0.7" right="0.7" top="0.75" bottom="0.75" header="0.3" footer="0.3"/>
  <pageSetup scale="2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63"/>
  <sheetViews>
    <sheetView workbookViewId="0">
      <selection activeCell="D19" sqref="D19:D20"/>
    </sheetView>
  </sheetViews>
  <sheetFormatPr defaultRowHeight="15" x14ac:dyDescent="0.25"/>
  <cols>
    <col min="2" max="2" width="31.7109375" customWidth="1"/>
    <col min="3" max="3" width="40.7109375" customWidth="1"/>
    <col min="4" max="4" width="27.140625" customWidth="1"/>
    <col min="5" max="5" width="36.42578125" customWidth="1"/>
    <col min="6" max="8" width="27.140625" customWidth="1"/>
    <col min="9" max="9" width="28.28515625" customWidth="1"/>
    <col min="10" max="11" width="30.42578125" customWidth="1"/>
    <col min="12" max="12" width="27.28515625" customWidth="1"/>
    <col min="13" max="13" width="29.140625" customWidth="1"/>
    <col min="14" max="14" width="24.5703125" customWidth="1"/>
    <col min="15" max="15" width="23.42578125" customWidth="1"/>
    <col min="16" max="16" width="20.85546875" customWidth="1"/>
    <col min="17" max="17" width="50.7109375" customWidth="1"/>
  </cols>
  <sheetData>
    <row r="1" spans="1:20" ht="47.25" customHeight="1" thickBot="1" x14ac:dyDescent="0.3">
      <c r="A1" s="33"/>
      <c r="B1" s="46" t="s">
        <v>798</v>
      </c>
      <c r="C1" s="42" t="s">
        <v>860</v>
      </c>
      <c r="D1" s="43" t="s">
        <v>861</v>
      </c>
      <c r="E1" s="44" t="s">
        <v>862</v>
      </c>
      <c r="F1" s="45" t="s">
        <v>863</v>
      </c>
      <c r="G1" s="45" t="s">
        <v>864</v>
      </c>
      <c r="H1" s="68" t="s">
        <v>865</v>
      </c>
      <c r="I1" s="42" t="s">
        <v>866</v>
      </c>
      <c r="J1" s="42" t="s">
        <v>867</v>
      </c>
      <c r="K1" s="42" t="s">
        <v>868</v>
      </c>
      <c r="L1" s="42" t="s">
        <v>869</v>
      </c>
      <c r="M1" s="1053"/>
      <c r="N1" s="69"/>
      <c r="O1" s="69"/>
      <c r="P1" s="69"/>
    </row>
    <row r="2" spans="1:20" ht="16.5" customHeight="1" x14ac:dyDescent="0.25">
      <c r="A2" s="1282" t="s">
        <v>870</v>
      </c>
      <c r="B2" s="1264" t="s">
        <v>871</v>
      </c>
      <c r="C2" s="61" t="s">
        <v>872</v>
      </c>
      <c r="D2" s="75">
        <v>0.4</v>
      </c>
      <c r="E2" s="1244" t="s">
        <v>873</v>
      </c>
      <c r="F2" s="1246">
        <v>0.45</v>
      </c>
      <c r="G2" s="1246">
        <v>0.2</v>
      </c>
      <c r="H2" s="1248">
        <v>0.6</v>
      </c>
      <c r="I2" s="80" t="s">
        <v>874</v>
      </c>
      <c r="J2" s="94" t="s">
        <v>875</v>
      </c>
      <c r="K2" s="95" t="s">
        <v>876</v>
      </c>
      <c r="L2" s="96" t="s">
        <v>875</v>
      </c>
      <c r="M2" s="70"/>
      <c r="N2" s="71"/>
      <c r="O2" s="71"/>
      <c r="P2" s="72"/>
      <c r="Q2" s="85"/>
      <c r="R2" s="86"/>
      <c r="S2" s="86"/>
      <c r="T2" s="86"/>
    </row>
    <row r="3" spans="1:20" x14ac:dyDescent="0.25">
      <c r="A3" s="1283"/>
      <c r="B3" s="1265"/>
      <c r="C3" s="55" t="s">
        <v>877</v>
      </c>
      <c r="D3" s="76">
        <v>0.5</v>
      </c>
      <c r="E3" s="1245"/>
      <c r="F3" s="1247"/>
      <c r="G3" s="1247"/>
      <c r="H3" s="1249"/>
      <c r="I3" s="97" t="s">
        <v>878</v>
      </c>
      <c r="J3" s="92">
        <v>0.75</v>
      </c>
      <c r="K3" s="93">
        <v>0.4</v>
      </c>
      <c r="L3" s="98">
        <v>0.8</v>
      </c>
      <c r="M3" s="70"/>
      <c r="N3" s="71"/>
      <c r="O3" s="71"/>
      <c r="P3" s="72"/>
      <c r="Q3" s="85"/>
      <c r="R3" s="86"/>
      <c r="S3" s="86"/>
      <c r="T3" s="86"/>
    </row>
    <row r="4" spans="1:20" x14ac:dyDescent="0.25">
      <c r="A4" s="1283"/>
      <c r="B4" s="1266"/>
      <c r="C4" s="55" t="s">
        <v>879</v>
      </c>
      <c r="D4" s="76">
        <v>0.65</v>
      </c>
      <c r="E4" s="1245"/>
      <c r="F4" s="1247"/>
      <c r="G4" s="1247"/>
      <c r="H4" s="1249"/>
      <c r="I4" s="99" t="s">
        <v>880</v>
      </c>
      <c r="J4" s="62">
        <v>0.5</v>
      </c>
      <c r="K4" s="54">
        <v>0.25</v>
      </c>
      <c r="L4" s="100">
        <v>0.5</v>
      </c>
      <c r="M4" s="70"/>
      <c r="N4" s="71"/>
      <c r="O4" s="71"/>
      <c r="P4" s="72"/>
      <c r="Q4" s="85"/>
      <c r="R4" s="86"/>
      <c r="S4" s="86"/>
      <c r="T4" s="86"/>
    </row>
    <row r="5" spans="1:20" x14ac:dyDescent="0.25">
      <c r="A5" s="1283"/>
      <c r="B5" s="176" t="s">
        <v>881</v>
      </c>
      <c r="C5" s="32" t="s">
        <v>881</v>
      </c>
      <c r="D5" s="56">
        <v>0.3</v>
      </c>
      <c r="E5" s="1245"/>
      <c r="F5" s="1247"/>
      <c r="G5" s="1247"/>
      <c r="H5" s="1249"/>
      <c r="I5" s="99" t="s">
        <v>882</v>
      </c>
      <c r="J5" s="62">
        <v>0.75</v>
      </c>
      <c r="K5" s="54">
        <v>0.55000000000000004</v>
      </c>
      <c r="L5" s="100">
        <v>0.8</v>
      </c>
      <c r="N5" s="1061"/>
      <c r="O5" s="1061"/>
      <c r="P5" s="72"/>
      <c r="Q5" s="85"/>
      <c r="R5" s="86"/>
      <c r="S5" s="86"/>
      <c r="T5" s="86"/>
    </row>
    <row r="6" spans="1:20" x14ac:dyDescent="0.25">
      <c r="A6" s="1283"/>
      <c r="B6" s="1281" t="s">
        <v>883</v>
      </c>
      <c r="C6" s="87"/>
      <c r="D6" s="1062"/>
      <c r="E6" s="160"/>
      <c r="F6" s="159"/>
      <c r="G6" s="156"/>
      <c r="H6" s="162"/>
      <c r="I6" s="107" t="s">
        <v>884</v>
      </c>
      <c r="J6" s="105">
        <v>0.2</v>
      </c>
      <c r="K6" s="41">
        <v>0.25</v>
      </c>
      <c r="L6" s="108">
        <v>0.4</v>
      </c>
      <c r="N6" s="1061"/>
      <c r="O6" s="1061"/>
      <c r="P6" s="72"/>
      <c r="Q6" s="85"/>
      <c r="R6" s="86"/>
      <c r="S6" s="86"/>
      <c r="T6" s="86"/>
    </row>
    <row r="7" spans="1:20" ht="15.75" thickBot="1" x14ac:dyDescent="0.3">
      <c r="A7" s="1283"/>
      <c r="B7" s="1277"/>
      <c r="C7" s="65"/>
      <c r="D7" s="120"/>
      <c r="E7" s="168"/>
      <c r="F7" s="163"/>
      <c r="G7" s="58"/>
      <c r="H7" s="164"/>
      <c r="I7" s="104" t="s">
        <v>885</v>
      </c>
      <c r="J7" s="62">
        <v>0.4</v>
      </c>
      <c r="K7" s="54">
        <v>0.35</v>
      </c>
      <c r="L7" s="100">
        <v>0.7</v>
      </c>
      <c r="N7" s="1061"/>
      <c r="O7" s="1061"/>
      <c r="P7" s="72"/>
      <c r="Q7" s="85"/>
      <c r="R7" s="86"/>
      <c r="S7" s="86"/>
      <c r="T7" s="86"/>
    </row>
    <row r="8" spans="1:20" ht="15" customHeight="1" x14ac:dyDescent="0.25">
      <c r="A8" s="1284"/>
      <c r="B8" s="1264" t="s">
        <v>886</v>
      </c>
      <c r="C8" s="61" t="s">
        <v>887</v>
      </c>
      <c r="D8" s="75">
        <v>0.5</v>
      </c>
      <c r="E8" s="291" t="s">
        <v>888</v>
      </c>
      <c r="F8" s="89">
        <v>0.45</v>
      </c>
      <c r="G8" s="1055">
        <v>0.25</v>
      </c>
      <c r="H8" s="90">
        <v>0.55000000000000004</v>
      </c>
      <c r="I8" s="80" t="s">
        <v>889</v>
      </c>
      <c r="J8" s="102">
        <v>0.55000000000000004</v>
      </c>
      <c r="K8" s="63">
        <v>0.64</v>
      </c>
      <c r="L8" s="103">
        <v>0.7</v>
      </c>
      <c r="M8" s="1122"/>
      <c r="N8" s="1260"/>
      <c r="O8" s="1260"/>
      <c r="Q8" s="85"/>
      <c r="R8" s="86"/>
      <c r="S8" s="86"/>
      <c r="T8" s="86"/>
    </row>
    <row r="9" spans="1:20" x14ac:dyDescent="0.25">
      <c r="A9" s="1284"/>
      <c r="B9" s="1265"/>
      <c r="C9" s="47" t="s">
        <v>890</v>
      </c>
      <c r="D9" s="165">
        <v>0.65</v>
      </c>
      <c r="E9" s="1059" t="s">
        <v>891</v>
      </c>
      <c r="F9" s="149">
        <v>0.75</v>
      </c>
      <c r="G9" s="1056">
        <v>0.7</v>
      </c>
      <c r="H9" s="91">
        <v>0.8</v>
      </c>
      <c r="I9" s="104" t="s">
        <v>892</v>
      </c>
      <c r="J9" s="62">
        <v>0.9</v>
      </c>
      <c r="K9" s="54">
        <v>0.9</v>
      </c>
      <c r="L9" s="100">
        <v>0.95</v>
      </c>
      <c r="M9" s="1122"/>
      <c r="N9" s="1260"/>
      <c r="O9" s="1260"/>
      <c r="Q9" s="85"/>
      <c r="R9" s="86"/>
      <c r="S9" s="86"/>
      <c r="T9" s="86"/>
    </row>
    <row r="10" spans="1:20" x14ac:dyDescent="0.25">
      <c r="A10" s="1284"/>
      <c r="B10" s="1265"/>
      <c r="C10" s="50" t="s">
        <v>893</v>
      </c>
      <c r="D10" s="161">
        <v>0.5</v>
      </c>
      <c r="E10" s="1059" t="s">
        <v>894</v>
      </c>
      <c r="F10" s="149">
        <v>0.85</v>
      </c>
      <c r="G10" s="1056">
        <v>0.8</v>
      </c>
      <c r="H10" s="91">
        <v>0.9</v>
      </c>
      <c r="I10" s="104" t="s">
        <v>895</v>
      </c>
      <c r="J10" s="62">
        <v>0.55000000000000004</v>
      </c>
      <c r="K10" s="54">
        <v>0.64</v>
      </c>
      <c r="L10" s="100">
        <v>0.7</v>
      </c>
      <c r="M10" s="1122"/>
      <c r="N10" s="1260"/>
      <c r="O10" s="1260"/>
      <c r="Q10" s="85"/>
      <c r="R10" s="86"/>
      <c r="S10" s="86"/>
      <c r="T10" s="86"/>
    </row>
    <row r="11" spans="1:20" x14ac:dyDescent="0.25">
      <c r="A11" s="1284"/>
      <c r="B11" s="1265"/>
      <c r="C11" s="55" t="s">
        <v>896</v>
      </c>
      <c r="D11" s="161">
        <v>0.65</v>
      </c>
      <c r="E11" s="79" t="s">
        <v>897</v>
      </c>
      <c r="F11" s="40">
        <v>0.75</v>
      </c>
      <c r="G11" s="40">
        <v>0.7</v>
      </c>
      <c r="H11" s="167">
        <v>0.8</v>
      </c>
      <c r="I11" s="172" t="s">
        <v>898</v>
      </c>
      <c r="J11" s="173"/>
      <c r="K11" s="83"/>
      <c r="L11" s="174"/>
      <c r="M11" s="1122"/>
      <c r="N11" s="1260"/>
      <c r="O11" s="1260"/>
      <c r="Q11" s="85"/>
      <c r="R11" s="86"/>
      <c r="S11" s="86"/>
      <c r="T11" s="86"/>
    </row>
    <row r="12" spans="1:20" x14ac:dyDescent="0.25">
      <c r="A12" s="1284"/>
      <c r="B12" s="1265"/>
      <c r="C12" s="166" t="s">
        <v>899</v>
      </c>
      <c r="D12" s="169">
        <v>0.35</v>
      </c>
      <c r="E12" s="158"/>
      <c r="F12" s="159"/>
      <c r="G12" s="159"/>
      <c r="H12" s="162"/>
      <c r="I12" s="104" t="s">
        <v>900</v>
      </c>
      <c r="J12" s="62">
        <v>0.52</v>
      </c>
      <c r="K12" s="54">
        <v>0.55000000000000004</v>
      </c>
      <c r="L12" s="100">
        <v>0.65</v>
      </c>
      <c r="M12" s="529"/>
      <c r="N12" s="1061"/>
      <c r="O12" s="1061"/>
      <c r="Q12" s="85"/>
      <c r="R12" s="86"/>
      <c r="S12" s="86"/>
      <c r="T12" s="86"/>
    </row>
    <row r="13" spans="1:20" ht="15.75" thickBot="1" x14ac:dyDescent="0.3">
      <c r="A13" s="1284"/>
      <c r="B13" s="1280"/>
      <c r="C13" s="65"/>
      <c r="D13" s="170"/>
      <c r="E13" s="158"/>
      <c r="F13" s="159"/>
      <c r="G13" s="159"/>
      <c r="H13" s="162"/>
      <c r="I13" s="104" t="s">
        <v>901</v>
      </c>
      <c r="J13" s="62">
        <v>0.76</v>
      </c>
      <c r="K13" s="54">
        <v>0.74</v>
      </c>
      <c r="L13" s="100">
        <v>0.9</v>
      </c>
      <c r="M13" s="529"/>
      <c r="N13" s="1061"/>
      <c r="O13" s="1061"/>
      <c r="Q13" s="85"/>
      <c r="R13" s="86"/>
      <c r="S13" s="86"/>
      <c r="T13" s="86"/>
    </row>
    <row r="14" spans="1:20" x14ac:dyDescent="0.25">
      <c r="A14" s="1284"/>
      <c r="B14" s="1276" t="s">
        <v>902</v>
      </c>
      <c r="C14" s="55" t="s">
        <v>903</v>
      </c>
      <c r="D14" s="292">
        <v>0.5</v>
      </c>
      <c r="E14" s="293" t="s">
        <v>904</v>
      </c>
      <c r="F14" s="1055">
        <v>0.85</v>
      </c>
      <c r="G14" s="89">
        <v>0.8</v>
      </c>
      <c r="H14" s="1057">
        <v>0.95</v>
      </c>
      <c r="I14" s="294" t="s">
        <v>905</v>
      </c>
      <c r="J14" s="63">
        <v>0.63</v>
      </c>
      <c r="K14" s="63">
        <v>0.56999999999999995</v>
      </c>
      <c r="L14" s="103">
        <v>0.75</v>
      </c>
      <c r="M14" s="1122"/>
      <c r="N14" s="1260"/>
      <c r="O14" s="1260"/>
      <c r="P14" s="72"/>
      <c r="Q14" s="85"/>
      <c r="R14" s="86"/>
      <c r="S14" s="86"/>
      <c r="T14" s="86"/>
    </row>
    <row r="15" spans="1:20" x14ac:dyDescent="0.25">
      <c r="A15" s="1284"/>
      <c r="B15" s="1270"/>
      <c r="C15" s="55" t="s">
        <v>906</v>
      </c>
      <c r="D15" s="292">
        <v>0.65</v>
      </c>
      <c r="E15" s="295" t="s">
        <v>907</v>
      </c>
      <c r="F15" s="1056">
        <v>0.85</v>
      </c>
      <c r="G15" s="149">
        <v>0.8</v>
      </c>
      <c r="H15" s="1058">
        <v>0.95</v>
      </c>
      <c r="I15" s="296" t="s">
        <v>908</v>
      </c>
      <c r="J15" s="54">
        <v>0.93</v>
      </c>
      <c r="K15" s="54">
        <v>0.92</v>
      </c>
      <c r="L15" s="100">
        <v>0.95</v>
      </c>
      <c r="M15" s="1122"/>
      <c r="N15" s="1260"/>
      <c r="O15" s="1260"/>
      <c r="P15" s="72"/>
      <c r="Q15" s="85"/>
      <c r="R15" s="86"/>
      <c r="S15" s="86"/>
      <c r="T15" s="86"/>
    </row>
    <row r="16" spans="1:20" ht="15.75" thickBot="1" x14ac:dyDescent="0.3">
      <c r="A16" s="1284"/>
      <c r="B16" s="1277"/>
      <c r="C16" s="74"/>
      <c r="D16" s="57"/>
      <c r="E16" s="297"/>
      <c r="F16" s="163"/>
      <c r="G16" s="163"/>
      <c r="H16" s="164"/>
      <c r="I16" s="296" t="s">
        <v>909</v>
      </c>
      <c r="J16" s="54"/>
      <c r="K16" s="54"/>
      <c r="L16" s="100"/>
      <c r="M16" s="529"/>
      <c r="N16" s="1061"/>
      <c r="O16" s="1061"/>
      <c r="P16" s="72"/>
      <c r="Q16" s="85"/>
      <c r="R16" s="86"/>
      <c r="S16" s="86"/>
      <c r="T16" s="86"/>
    </row>
    <row r="17" spans="1:20" x14ac:dyDescent="0.25">
      <c r="A17" s="1284"/>
      <c r="B17" s="78" t="s">
        <v>910</v>
      </c>
      <c r="C17" s="61" t="s">
        <v>911</v>
      </c>
      <c r="D17" s="75">
        <v>0.35</v>
      </c>
      <c r="E17" s="1255" t="s">
        <v>912</v>
      </c>
      <c r="F17" s="1247">
        <v>0.2</v>
      </c>
      <c r="G17" s="1247">
        <v>0.2</v>
      </c>
      <c r="H17" s="1258">
        <v>0.6</v>
      </c>
      <c r="I17" s="80" t="s">
        <v>913</v>
      </c>
      <c r="J17" s="63">
        <v>0.15</v>
      </c>
      <c r="K17" s="63">
        <v>0.1</v>
      </c>
      <c r="L17" s="103">
        <v>0.5</v>
      </c>
      <c r="N17" s="1260"/>
      <c r="O17" s="1260"/>
      <c r="P17" s="72"/>
      <c r="Q17" s="85"/>
      <c r="R17" s="86"/>
      <c r="S17" s="86"/>
      <c r="T17" s="86"/>
    </row>
    <row r="18" spans="1:20" ht="15.75" thickBot="1" x14ac:dyDescent="0.3">
      <c r="A18" s="1284"/>
      <c r="B18" s="77" t="s">
        <v>914</v>
      </c>
      <c r="C18" s="51" t="s">
        <v>915</v>
      </c>
      <c r="D18" s="88">
        <v>0.5</v>
      </c>
      <c r="E18" s="1293"/>
      <c r="F18" s="1259"/>
      <c r="G18" s="1259"/>
      <c r="H18" s="1291"/>
      <c r="I18" s="81" t="s">
        <v>916</v>
      </c>
      <c r="J18" s="52">
        <v>0.31</v>
      </c>
      <c r="K18" s="52">
        <v>0.24</v>
      </c>
      <c r="L18" s="171">
        <v>0.75</v>
      </c>
      <c r="N18" s="1260"/>
      <c r="O18" s="1260"/>
      <c r="P18" s="72"/>
      <c r="Q18" s="85"/>
      <c r="R18" s="86"/>
      <c r="S18" s="86"/>
      <c r="T18" s="86"/>
    </row>
    <row r="19" spans="1:20" x14ac:dyDescent="0.25">
      <c r="A19" s="1284"/>
      <c r="B19" s="1276" t="s">
        <v>917</v>
      </c>
      <c r="C19" s="1250" t="s">
        <v>918</v>
      </c>
      <c r="D19" s="1292">
        <v>0.65</v>
      </c>
      <c r="E19" s="1299" t="s">
        <v>919</v>
      </c>
      <c r="F19" s="1246">
        <v>0.6</v>
      </c>
      <c r="G19" s="1246">
        <v>0.4</v>
      </c>
      <c r="H19" s="1257">
        <v>0.8</v>
      </c>
      <c r="I19" s="104" t="s">
        <v>920</v>
      </c>
      <c r="J19" s="54">
        <v>0.6</v>
      </c>
      <c r="K19" s="54">
        <v>0.3</v>
      </c>
      <c r="L19" s="175">
        <v>0.6</v>
      </c>
      <c r="N19" s="1061"/>
      <c r="O19" s="1061"/>
      <c r="P19" s="72"/>
      <c r="Q19" s="85"/>
      <c r="R19" s="86"/>
      <c r="S19" s="86"/>
      <c r="T19" s="86"/>
    </row>
    <row r="20" spans="1:20" ht="15.75" thickBot="1" x14ac:dyDescent="0.3">
      <c r="A20" s="1284"/>
      <c r="B20" s="1277"/>
      <c r="C20" s="1250"/>
      <c r="D20" s="1292"/>
      <c r="E20" s="1300"/>
      <c r="F20" s="1247"/>
      <c r="G20" s="1247"/>
      <c r="H20" s="1258"/>
      <c r="I20" s="81" t="s">
        <v>921</v>
      </c>
      <c r="J20" s="52">
        <v>0.65</v>
      </c>
      <c r="K20" s="52">
        <v>0.45</v>
      </c>
      <c r="L20" s="53">
        <v>0.85</v>
      </c>
      <c r="N20" s="1061"/>
      <c r="O20" s="1061"/>
      <c r="P20" s="72"/>
      <c r="Q20" s="85"/>
      <c r="R20" s="86"/>
      <c r="S20" s="86"/>
      <c r="T20" s="86"/>
    </row>
    <row r="21" spans="1:20" ht="15.75" customHeight="1" x14ac:dyDescent="0.25">
      <c r="A21" s="1284"/>
      <c r="B21" s="1267" t="s">
        <v>922</v>
      </c>
      <c r="C21" s="61" t="s">
        <v>923</v>
      </c>
      <c r="D21" s="75">
        <v>0.5</v>
      </c>
      <c r="E21" s="1295" t="s">
        <v>924</v>
      </c>
      <c r="F21" s="1246">
        <v>0.1</v>
      </c>
      <c r="G21" s="1246">
        <v>0.1</v>
      </c>
      <c r="H21" s="1248">
        <v>0.5</v>
      </c>
      <c r="I21" s="80" t="s">
        <v>925</v>
      </c>
      <c r="J21" s="106">
        <v>0.23</v>
      </c>
      <c r="K21" s="63">
        <v>0.28000000000000003</v>
      </c>
      <c r="L21" s="64">
        <v>0.35</v>
      </c>
      <c r="M21" s="70"/>
      <c r="N21" s="72"/>
      <c r="O21" s="72"/>
      <c r="Q21" s="85"/>
      <c r="R21" s="86"/>
      <c r="S21" s="86"/>
      <c r="T21" s="86"/>
    </row>
    <row r="22" spans="1:20" ht="16.5" customHeight="1" x14ac:dyDescent="0.25">
      <c r="A22" s="1284"/>
      <c r="B22" s="1268"/>
      <c r="C22" s="55" t="s">
        <v>926</v>
      </c>
      <c r="D22" s="76">
        <v>0.65</v>
      </c>
      <c r="E22" s="1296"/>
      <c r="F22" s="1247"/>
      <c r="G22" s="1247"/>
      <c r="H22" s="1249"/>
      <c r="I22" s="87"/>
      <c r="J22" s="84"/>
      <c r="K22" s="84"/>
      <c r="L22" s="157"/>
      <c r="M22" s="2"/>
      <c r="N22" s="73"/>
      <c r="O22" s="73"/>
      <c r="P22" s="73"/>
      <c r="Q22" s="85"/>
      <c r="R22" s="86"/>
      <c r="S22" s="86"/>
      <c r="T22" s="86"/>
    </row>
    <row r="23" spans="1:20" ht="15" customHeight="1" x14ac:dyDescent="0.25">
      <c r="A23" s="1284"/>
      <c r="B23" s="1268"/>
      <c r="C23" s="55" t="s">
        <v>927</v>
      </c>
      <c r="D23" s="76">
        <v>0.15</v>
      </c>
      <c r="E23" s="1297" t="s">
        <v>928</v>
      </c>
      <c r="F23" s="1247">
        <v>0.45</v>
      </c>
      <c r="G23" s="1247">
        <v>0.45</v>
      </c>
      <c r="H23" s="1249">
        <v>0.7</v>
      </c>
      <c r="I23" s="87"/>
      <c r="J23" s="84"/>
      <c r="K23" s="84"/>
      <c r="L23" s="157"/>
      <c r="M23" s="2"/>
      <c r="N23" s="73"/>
      <c r="O23" s="73"/>
      <c r="P23" s="73"/>
      <c r="Q23" s="85"/>
      <c r="R23" s="86"/>
      <c r="S23" s="86"/>
      <c r="T23" s="86"/>
    </row>
    <row r="24" spans="1:20" ht="15.75" customHeight="1" thickBot="1" x14ac:dyDescent="0.3">
      <c r="A24" s="1284"/>
      <c r="B24" s="1269"/>
      <c r="C24" s="65"/>
      <c r="D24" s="67"/>
      <c r="E24" s="1298"/>
      <c r="F24" s="1259"/>
      <c r="G24" s="1259"/>
      <c r="H24" s="1294"/>
      <c r="I24" s="65"/>
      <c r="J24" s="66"/>
      <c r="K24" s="66"/>
      <c r="L24" s="67"/>
      <c r="M24" s="2"/>
      <c r="N24" s="73"/>
      <c r="O24" s="73"/>
      <c r="P24" s="73"/>
      <c r="Q24" s="85"/>
      <c r="R24" s="86"/>
      <c r="S24" s="86"/>
      <c r="T24" s="86"/>
    </row>
    <row r="25" spans="1:20" ht="25.5" customHeight="1" x14ac:dyDescent="0.25">
      <c r="A25" s="1284"/>
      <c r="B25" s="1271" t="s">
        <v>929</v>
      </c>
      <c r="C25" s="117"/>
      <c r="D25" s="118"/>
      <c r="E25" s="291" t="s">
        <v>930</v>
      </c>
      <c r="F25" s="89">
        <v>0.2</v>
      </c>
      <c r="G25" s="1055">
        <v>0.1</v>
      </c>
      <c r="H25" s="90">
        <v>0.55000000000000004</v>
      </c>
      <c r="I25" s="113" t="s">
        <v>931</v>
      </c>
      <c r="J25" s="150">
        <v>0.59</v>
      </c>
      <c r="K25" s="151">
        <v>0.59</v>
      </c>
      <c r="L25" s="152">
        <v>0.8</v>
      </c>
      <c r="M25" s="70"/>
      <c r="N25" s="72"/>
      <c r="O25" s="72"/>
      <c r="Q25" s="85"/>
      <c r="R25" s="86"/>
      <c r="S25" s="86"/>
      <c r="T25" s="86"/>
    </row>
    <row r="26" spans="1:20" ht="25.5" x14ac:dyDescent="0.25">
      <c r="A26" s="1284"/>
      <c r="B26" s="1272"/>
      <c r="C26" s="87"/>
      <c r="D26" s="119"/>
      <c r="E26" s="1059" t="s">
        <v>932</v>
      </c>
      <c r="F26" s="149">
        <v>0.5</v>
      </c>
      <c r="G26" s="1056">
        <v>0.45</v>
      </c>
      <c r="H26" s="91">
        <v>0.7</v>
      </c>
      <c r="I26" s="109" t="s">
        <v>933</v>
      </c>
      <c r="J26" s="153">
        <v>0.81</v>
      </c>
      <c r="K26" s="154">
        <v>0.81</v>
      </c>
      <c r="L26" s="155">
        <v>0.9</v>
      </c>
      <c r="M26" s="70"/>
      <c r="N26" s="72"/>
      <c r="O26" s="72"/>
      <c r="Q26" s="85"/>
      <c r="R26" s="86"/>
      <c r="S26" s="86"/>
      <c r="T26" s="86"/>
    </row>
    <row r="27" spans="1:20" ht="25.5" x14ac:dyDescent="0.25">
      <c r="A27" s="1284"/>
      <c r="B27" s="1272"/>
      <c r="C27" s="87"/>
      <c r="D27" s="119"/>
      <c r="E27" s="1059" t="s">
        <v>934</v>
      </c>
      <c r="F27" s="149">
        <v>0.8</v>
      </c>
      <c r="G27" s="1056">
        <v>0.75</v>
      </c>
      <c r="H27" s="91">
        <v>0.85</v>
      </c>
      <c r="I27" s="101"/>
      <c r="J27" s="57"/>
      <c r="K27" s="59"/>
      <c r="L27" s="110"/>
      <c r="M27" s="70"/>
      <c r="N27" s="72"/>
      <c r="O27" s="72"/>
      <c r="Q27" s="85"/>
      <c r="R27" s="86"/>
      <c r="S27" s="86"/>
      <c r="T27" s="86"/>
    </row>
    <row r="28" spans="1:20" ht="25.5" x14ac:dyDescent="0.25">
      <c r="A28" s="1284"/>
      <c r="B28" s="1272"/>
      <c r="C28" s="87"/>
      <c r="D28" s="119"/>
      <c r="E28" s="1059" t="s">
        <v>935</v>
      </c>
      <c r="F28" s="149">
        <v>0.2</v>
      </c>
      <c r="G28" s="1056">
        <v>0.2</v>
      </c>
      <c r="H28" s="91">
        <v>0.55000000000000004</v>
      </c>
      <c r="I28" s="101"/>
      <c r="J28" s="57"/>
      <c r="K28" s="59"/>
      <c r="L28" s="110"/>
      <c r="M28" s="70"/>
      <c r="N28" s="72"/>
      <c r="O28" s="72"/>
      <c r="Q28" s="85"/>
      <c r="R28" s="86"/>
      <c r="S28" s="86"/>
      <c r="T28" s="86"/>
    </row>
    <row r="29" spans="1:20" ht="25.5" x14ac:dyDescent="0.25">
      <c r="A29" s="1284"/>
      <c r="B29" s="1272"/>
      <c r="C29" s="87"/>
      <c r="D29" s="119"/>
      <c r="E29" s="1059" t="s">
        <v>936</v>
      </c>
      <c r="F29" s="149">
        <v>0.5</v>
      </c>
      <c r="G29" s="1056">
        <v>0.5</v>
      </c>
      <c r="H29" s="91">
        <v>0.7</v>
      </c>
      <c r="I29" s="101"/>
      <c r="J29" s="57"/>
      <c r="K29" s="59"/>
      <c r="L29" s="110"/>
      <c r="M29" s="70"/>
      <c r="N29" s="72"/>
      <c r="O29" s="72"/>
      <c r="Q29" s="85"/>
      <c r="R29" s="86"/>
      <c r="S29" s="86"/>
      <c r="T29" s="86"/>
    </row>
    <row r="30" spans="1:20" ht="26.25" thickBot="1" x14ac:dyDescent="0.3">
      <c r="A30" s="1284"/>
      <c r="B30" s="1273"/>
      <c r="C30" s="87"/>
      <c r="D30" s="119"/>
      <c r="E30" s="1059" t="s">
        <v>937</v>
      </c>
      <c r="F30" s="149">
        <v>0.8</v>
      </c>
      <c r="G30" s="1056">
        <v>0.8</v>
      </c>
      <c r="H30" s="91">
        <v>0.85</v>
      </c>
      <c r="I30" s="114"/>
      <c r="J30" s="111"/>
      <c r="K30" s="60"/>
      <c r="L30" s="112"/>
      <c r="M30" s="70"/>
      <c r="N30" s="72"/>
      <c r="O30" s="72"/>
      <c r="Q30" s="85"/>
      <c r="R30" s="86"/>
      <c r="S30" s="86"/>
      <c r="T30" s="86"/>
    </row>
    <row r="31" spans="1:20" ht="18" customHeight="1" x14ac:dyDescent="0.25">
      <c r="A31" s="1284"/>
      <c r="B31" s="1274" t="s">
        <v>938</v>
      </c>
      <c r="C31" s="117"/>
      <c r="D31" s="299"/>
      <c r="E31" s="1063" t="s">
        <v>939</v>
      </c>
      <c r="F31" s="89">
        <v>0.1</v>
      </c>
      <c r="G31" s="1055">
        <v>0.05</v>
      </c>
      <c r="H31" s="90">
        <v>0.1</v>
      </c>
      <c r="I31" s="1289" t="s">
        <v>940</v>
      </c>
      <c r="J31" s="1253">
        <v>0.9</v>
      </c>
      <c r="K31" s="1253">
        <v>0.9</v>
      </c>
      <c r="L31" s="1251">
        <v>0.9</v>
      </c>
      <c r="Q31" s="85"/>
      <c r="R31" s="86"/>
      <c r="S31" s="86"/>
      <c r="T31" s="86"/>
    </row>
    <row r="32" spans="1:20" ht="15.75" thickBot="1" x14ac:dyDescent="0.3">
      <c r="A32" s="1284"/>
      <c r="B32" s="1275"/>
      <c r="C32" s="65"/>
      <c r="D32" s="300"/>
      <c r="E32" s="301" t="s">
        <v>941</v>
      </c>
      <c r="F32" s="115">
        <v>0.1</v>
      </c>
      <c r="G32" s="1060">
        <v>0.05</v>
      </c>
      <c r="H32" s="116">
        <v>0.1</v>
      </c>
      <c r="I32" s="1290"/>
      <c r="J32" s="1254"/>
      <c r="K32" s="1254"/>
      <c r="L32" s="1252"/>
      <c r="Q32" s="85"/>
      <c r="R32" s="86"/>
      <c r="S32" s="86"/>
      <c r="T32" s="86"/>
    </row>
    <row r="33" spans="1:20" ht="15" customHeight="1" x14ac:dyDescent="0.25">
      <c r="A33" s="1284"/>
      <c r="B33" s="1278" t="s">
        <v>942</v>
      </c>
      <c r="C33" s="1285"/>
      <c r="D33" s="1287"/>
      <c r="E33" s="1255" t="s">
        <v>943</v>
      </c>
      <c r="F33" s="1256">
        <v>6.9999999999999999E-4</v>
      </c>
      <c r="G33" s="1256">
        <v>1.8E-3</v>
      </c>
      <c r="H33" s="1249">
        <v>1</v>
      </c>
      <c r="I33" s="82" t="s">
        <v>944</v>
      </c>
      <c r="J33" s="63">
        <v>0.45</v>
      </c>
      <c r="K33" s="63">
        <v>0.45</v>
      </c>
      <c r="L33" s="64">
        <v>0.7</v>
      </c>
      <c r="Q33" s="85"/>
      <c r="R33" s="86"/>
      <c r="S33" s="86"/>
      <c r="T33" s="86"/>
    </row>
    <row r="34" spans="1:20" ht="15.75" thickBot="1" x14ac:dyDescent="0.3">
      <c r="A34" s="1284"/>
      <c r="B34" s="1279"/>
      <c r="C34" s="1286"/>
      <c r="D34" s="1288"/>
      <c r="E34" s="1255"/>
      <c r="F34" s="1256"/>
      <c r="G34" s="1256"/>
      <c r="H34" s="1249"/>
      <c r="I34" s="186" t="s">
        <v>945</v>
      </c>
      <c r="J34" s="48">
        <v>0.6</v>
      </c>
      <c r="K34" s="48">
        <v>0.6</v>
      </c>
      <c r="L34" s="49">
        <v>0.8</v>
      </c>
      <c r="Q34" s="85"/>
      <c r="R34" s="86"/>
      <c r="S34" s="86"/>
      <c r="T34" s="86"/>
    </row>
    <row r="35" spans="1:20" s="122" customFormat="1" x14ac:dyDescent="0.25">
      <c r="A35" s="125"/>
      <c r="B35" s="126"/>
      <c r="C35" s="127"/>
      <c r="D35" s="128"/>
      <c r="E35" s="129"/>
      <c r="F35" s="130"/>
      <c r="G35" s="130"/>
      <c r="H35" s="131"/>
      <c r="I35" s="183"/>
      <c r="J35" s="184"/>
      <c r="K35" s="184"/>
      <c r="L35" s="185"/>
      <c r="Q35" s="123"/>
      <c r="R35" s="124"/>
      <c r="S35" s="124"/>
      <c r="T35" s="124"/>
    </row>
    <row r="36" spans="1:20" ht="21" customHeight="1" x14ac:dyDescent="0.25">
      <c r="A36" s="1261" t="s">
        <v>946</v>
      </c>
      <c r="B36" s="1270" t="s">
        <v>947</v>
      </c>
      <c r="C36" s="802"/>
      <c r="D36" s="800"/>
      <c r="E36" s="47" t="s">
        <v>291</v>
      </c>
      <c r="F36" s="1231"/>
      <c r="G36" s="1232"/>
      <c r="H36" s="1233"/>
      <c r="I36" s="47" t="s">
        <v>291</v>
      </c>
      <c r="J36" s="187">
        <v>0.5</v>
      </c>
      <c r="K36" s="188"/>
      <c r="L36" s="189"/>
      <c r="Q36" s="85"/>
      <c r="R36" s="86"/>
      <c r="S36" s="86"/>
      <c r="T36" s="86"/>
    </row>
    <row r="37" spans="1:20" ht="21" customHeight="1" thickBot="1" x14ac:dyDescent="0.3">
      <c r="A37" s="1262"/>
      <c r="B37" s="1270"/>
      <c r="C37" s="803"/>
      <c r="D37" s="801"/>
      <c r="E37" s="32" t="s">
        <v>352</v>
      </c>
      <c r="F37" s="1234"/>
      <c r="G37" s="1235"/>
      <c r="H37" s="1236"/>
      <c r="I37" s="32" t="s">
        <v>352</v>
      </c>
      <c r="J37" s="190">
        <v>0.45</v>
      </c>
      <c r="K37" s="191"/>
      <c r="L37" s="192"/>
      <c r="Q37" s="85"/>
      <c r="R37" s="86"/>
      <c r="S37" s="86"/>
      <c r="T37" s="86"/>
    </row>
    <row r="38" spans="1:20" x14ac:dyDescent="0.25">
      <c r="A38" s="1262"/>
      <c r="B38" s="1267" t="s">
        <v>948</v>
      </c>
      <c r="C38" s="117"/>
      <c r="D38" s="118"/>
      <c r="E38" s="31" t="s">
        <v>949</v>
      </c>
      <c r="F38" s="1237"/>
      <c r="G38" s="1238"/>
      <c r="H38" s="1239"/>
      <c r="I38" s="31" t="s">
        <v>949</v>
      </c>
      <c r="J38" s="193">
        <v>0.2</v>
      </c>
      <c r="K38" s="194"/>
      <c r="L38" s="195"/>
      <c r="Q38" s="85"/>
      <c r="R38" s="86"/>
      <c r="S38" s="86"/>
      <c r="T38" s="86"/>
    </row>
    <row r="39" spans="1:20" x14ac:dyDescent="0.25">
      <c r="A39" s="1262"/>
      <c r="B39" s="1268"/>
      <c r="C39" s="87"/>
      <c r="D39" s="119"/>
      <c r="E39" s="32" t="s">
        <v>950</v>
      </c>
      <c r="F39" s="1240"/>
      <c r="G39" s="1241"/>
      <c r="H39" s="1242"/>
      <c r="I39" s="32" t="s">
        <v>951</v>
      </c>
      <c r="J39" s="190">
        <v>0.2</v>
      </c>
      <c r="K39" s="191"/>
      <c r="L39" s="192"/>
      <c r="Q39" s="85"/>
      <c r="R39" s="86"/>
      <c r="S39" s="86"/>
      <c r="T39" s="86"/>
    </row>
    <row r="40" spans="1:20" ht="25.5" customHeight="1" x14ac:dyDescent="0.25">
      <c r="A40" s="1262"/>
      <c r="B40" s="1268"/>
      <c r="C40" s="87"/>
      <c r="D40" s="1062"/>
      <c r="E40" s="177" t="s">
        <v>952</v>
      </c>
      <c r="F40" s="178">
        <v>0.1</v>
      </c>
      <c r="G40" s="178">
        <v>0.05</v>
      </c>
      <c r="H40" s="181">
        <v>0.1</v>
      </c>
      <c r="I40" s="50" t="s">
        <v>953</v>
      </c>
      <c r="J40" s="196">
        <v>0.2</v>
      </c>
      <c r="K40" s="197"/>
      <c r="L40" s="198"/>
      <c r="Q40" s="85"/>
      <c r="R40" s="86"/>
      <c r="S40" s="86"/>
      <c r="T40" s="86"/>
    </row>
    <row r="41" spans="1:20" ht="25.5" customHeight="1" x14ac:dyDescent="0.25">
      <c r="A41" s="1262"/>
      <c r="B41" s="1268"/>
      <c r="C41" s="87"/>
      <c r="D41" s="119"/>
      <c r="E41" s="87"/>
      <c r="F41" s="179"/>
      <c r="G41" s="179"/>
      <c r="H41" s="179"/>
      <c r="I41" s="182"/>
      <c r="J41" s="179"/>
      <c r="K41" s="179"/>
      <c r="L41" s="180"/>
      <c r="Q41" s="85"/>
      <c r="R41" s="86"/>
      <c r="S41" s="86"/>
      <c r="T41" s="86"/>
    </row>
    <row r="42" spans="1:20" ht="21.75" customHeight="1" thickBot="1" x14ac:dyDescent="0.3">
      <c r="A42" s="1263"/>
      <c r="B42" s="1269"/>
      <c r="C42" s="65"/>
      <c r="D42" s="804"/>
      <c r="E42" s="65"/>
      <c r="F42" s="66"/>
      <c r="G42" s="66"/>
      <c r="H42" s="66"/>
      <c r="I42" s="65"/>
      <c r="J42" s="66"/>
      <c r="K42" s="66"/>
      <c r="L42" s="67"/>
      <c r="Q42" s="85"/>
      <c r="R42" s="86"/>
      <c r="S42" s="86"/>
      <c r="T42" s="86"/>
    </row>
    <row r="43" spans="1:20" ht="15" customHeight="1" x14ac:dyDescent="0.25">
      <c r="C43" s="1243" t="s">
        <v>954</v>
      </c>
      <c r="D43" s="1243"/>
      <c r="E43" t="s">
        <v>955</v>
      </c>
      <c r="I43" t="s">
        <v>956</v>
      </c>
      <c r="Q43" s="85"/>
      <c r="R43" s="86"/>
      <c r="S43" s="86"/>
      <c r="T43" s="86"/>
    </row>
    <row r="44" spans="1:20" x14ac:dyDescent="0.25">
      <c r="C44" s="1115"/>
      <c r="D44" s="1115"/>
      <c r="I44" t="s">
        <v>957</v>
      </c>
      <c r="Q44" s="85"/>
      <c r="R44" s="86"/>
      <c r="S44" s="86"/>
      <c r="T44" s="86"/>
    </row>
    <row r="45" spans="1:20" x14ac:dyDescent="0.25">
      <c r="Q45" s="85"/>
      <c r="R45" s="86"/>
      <c r="S45" s="86"/>
      <c r="T45" s="86"/>
    </row>
    <row r="46" spans="1:20" x14ac:dyDescent="0.25">
      <c r="Q46" s="85"/>
      <c r="R46" s="86"/>
      <c r="S46" s="86"/>
      <c r="T46" s="86"/>
    </row>
    <row r="47" spans="1:20" x14ac:dyDescent="0.25">
      <c r="C47" t="s">
        <v>958</v>
      </c>
      <c r="Q47" s="85"/>
      <c r="R47" s="86"/>
      <c r="S47" s="86"/>
      <c r="T47" s="86"/>
    </row>
    <row r="48" spans="1:20" x14ac:dyDescent="0.25">
      <c r="C48" t="s">
        <v>959</v>
      </c>
      <c r="Q48" s="85"/>
      <c r="R48" s="86"/>
      <c r="S48" s="86"/>
      <c r="T48" s="86"/>
    </row>
    <row r="49" spans="3:20" x14ac:dyDescent="0.25">
      <c r="C49" s="14" t="s">
        <v>558</v>
      </c>
      <c r="D49" s="14" t="s">
        <v>960</v>
      </c>
      <c r="E49" s="14" t="s">
        <v>961</v>
      </c>
      <c r="Q49" s="85"/>
      <c r="R49" s="121"/>
      <c r="S49" s="121"/>
      <c r="T49" s="86"/>
    </row>
    <row r="50" spans="3:20" x14ac:dyDescent="0.25">
      <c r="C50">
        <v>4</v>
      </c>
      <c r="D50">
        <v>6</v>
      </c>
      <c r="E50" s="14">
        <f>(0.5*C50*D50*0.4)+(1.75*C50*D50*0.3)+(0.75*C50*D50)</f>
        <v>35.4</v>
      </c>
      <c r="Q50" s="85"/>
      <c r="R50" s="86"/>
      <c r="S50" s="86"/>
      <c r="T50" s="86"/>
    </row>
    <row r="51" spans="3:20" x14ac:dyDescent="0.25">
      <c r="C51">
        <v>6</v>
      </c>
      <c r="D51">
        <v>6</v>
      </c>
      <c r="E51" s="14">
        <f t="shared" ref="E51:E57" si="0">(0.5*C51*D51*0.4)+(1.75*C51*D51*0.3)+(0.75*C51*D51)</f>
        <v>53.099999999999994</v>
      </c>
    </row>
    <row r="52" spans="3:20" x14ac:dyDescent="0.25">
      <c r="C52">
        <v>4</v>
      </c>
      <c r="D52">
        <v>8</v>
      </c>
      <c r="E52" s="14">
        <f t="shared" si="0"/>
        <v>47.2</v>
      </c>
    </row>
    <row r="53" spans="3:20" x14ac:dyDescent="0.25">
      <c r="C53">
        <v>6</v>
      </c>
      <c r="D53">
        <v>8</v>
      </c>
      <c r="E53" s="14">
        <f t="shared" si="0"/>
        <v>70.8</v>
      </c>
    </row>
    <row r="54" spans="3:20" x14ac:dyDescent="0.25">
      <c r="C54">
        <v>6</v>
      </c>
      <c r="D54">
        <v>10</v>
      </c>
      <c r="E54" s="14">
        <f t="shared" si="0"/>
        <v>88.5</v>
      </c>
    </row>
    <row r="55" spans="3:20" x14ac:dyDescent="0.25">
      <c r="C55">
        <v>4</v>
      </c>
      <c r="D55">
        <v>12</v>
      </c>
      <c r="E55" s="14">
        <f t="shared" si="0"/>
        <v>70.8</v>
      </c>
    </row>
    <row r="56" spans="3:20" x14ac:dyDescent="0.25">
      <c r="C56">
        <v>6</v>
      </c>
      <c r="D56">
        <v>12</v>
      </c>
      <c r="E56" s="14">
        <f t="shared" si="0"/>
        <v>106.19999999999999</v>
      </c>
    </row>
    <row r="57" spans="3:20" x14ac:dyDescent="0.25">
      <c r="C57">
        <v>13</v>
      </c>
      <c r="D57">
        <v>7</v>
      </c>
      <c r="E57" s="527">
        <f t="shared" si="0"/>
        <v>134.22499999999999</v>
      </c>
    </row>
    <row r="58" spans="3:20" x14ac:dyDescent="0.25">
      <c r="E58" s="14"/>
    </row>
    <row r="59" spans="3:20" x14ac:dyDescent="0.25">
      <c r="C59" t="s">
        <v>962</v>
      </c>
      <c r="E59" s="14" t="s">
        <v>961</v>
      </c>
    </row>
    <row r="60" spans="3:20" x14ac:dyDescent="0.25">
      <c r="C60" t="s">
        <v>963</v>
      </c>
      <c r="E60" s="14">
        <v>51.2</v>
      </c>
    </row>
    <row r="61" spans="3:20" x14ac:dyDescent="0.25">
      <c r="C61" t="s">
        <v>964</v>
      </c>
      <c r="E61" s="14">
        <v>29.15</v>
      </c>
    </row>
    <row r="62" spans="3:20" x14ac:dyDescent="0.25">
      <c r="C62" t="s">
        <v>965</v>
      </c>
      <c r="E62" s="14">
        <v>29.15</v>
      </c>
    </row>
    <row r="63" spans="3:20" x14ac:dyDescent="0.25">
      <c r="C63" t="s">
        <v>966</v>
      </c>
      <c r="E63" s="14">
        <v>120.3</v>
      </c>
    </row>
  </sheetData>
  <mergeCells count="56">
    <mergeCell ref="H33:H34"/>
    <mergeCell ref="C33:C34"/>
    <mergeCell ref="D33:D34"/>
    <mergeCell ref="I31:I32"/>
    <mergeCell ref="H17:H18"/>
    <mergeCell ref="D19:D20"/>
    <mergeCell ref="E17:E18"/>
    <mergeCell ref="F17:F18"/>
    <mergeCell ref="H21:H22"/>
    <mergeCell ref="H23:H24"/>
    <mergeCell ref="G23:G24"/>
    <mergeCell ref="E21:E22"/>
    <mergeCell ref="E23:E24"/>
    <mergeCell ref="G17:G18"/>
    <mergeCell ref="E19:E20"/>
    <mergeCell ref="A36:A42"/>
    <mergeCell ref="B2:B4"/>
    <mergeCell ref="B38:B42"/>
    <mergeCell ref="B36:B37"/>
    <mergeCell ref="B25:B30"/>
    <mergeCell ref="B31:B32"/>
    <mergeCell ref="B19:B20"/>
    <mergeCell ref="B33:B34"/>
    <mergeCell ref="B8:B13"/>
    <mergeCell ref="B6:B7"/>
    <mergeCell ref="B14:B16"/>
    <mergeCell ref="A2:A34"/>
    <mergeCell ref="B21:B24"/>
    <mergeCell ref="N17:N18"/>
    <mergeCell ref="O17:O18"/>
    <mergeCell ref="N14:N15"/>
    <mergeCell ref="O14:O15"/>
    <mergeCell ref="N8:N11"/>
    <mergeCell ref="O8:O11"/>
    <mergeCell ref="J31:J32"/>
    <mergeCell ref="G19:G20"/>
    <mergeCell ref="H19:H20"/>
    <mergeCell ref="F23:F24"/>
    <mergeCell ref="G21:G22"/>
    <mergeCell ref="F21:F22"/>
    <mergeCell ref="F36:H37"/>
    <mergeCell ref="F38:H39"/>
    <mergeCell ref="C43:D44"/>
    <mergeCell ref="E2:E5"/>
    <mergeCell ref="M14:M15"/>
    <mergeCell ref="F2:F5"/>
    <mergeCell ref="G2:G5"/>
    <mergeCell ref="H2:H5"/>
    <mergeCell ref="M8:M11"/>
    <mergeCell ref="C19:C20"/>
    <mergeCell ref="L31:L32"/>
    <mergeCell ref="K31:K32"/>
    <mergeCell ref="F19:F20"/>
    <mergeCell ref="E33:E34"/>
    <mergeCell ref="F33:F34"/>
    <mergeCell ref="G33:G34"/>
  </mergeCells>
  <pageMargins left="0.7" right="0.7" top="0.75" bottom="0.75" header="0.3" footer="0.3"/>
  <pageSetup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H114"/>
  <sheetViews>
    <sheetView zoomScaleNormal="100" workbookViewId="0">
      <selection activeCell="B26" sqref="B26"/>
    </sheetView>
  </sheetViews>
  <sheetFormatPr defaultRowHeight="15" x14ac:dyDescent="0.25"/>
  <cols>
    <col min="1" max="1" width="39.7109375" customWidth="1"/>
    <col min="2" max="2" width="24.28515625" customWidth="1"/>
    <col min="3" max="3" width="15" customWidth="1"/>
    <col min="4" max="4" width="16" customWidth="1"/>
    <col min="5" max="5" width="15.85546875" customWidth="1"/>
    <col min="6" max="6" width="14.140625" customWidth="1"/>
    <col min="7" max="7" width="15.140625" customWidth="1"/>
    <col min="8" max="8" width="13.140625" customWidth="1"/>
  </cols>
  <sheetData>
    <row r="1" spans="1:5" ht="15.75" thickBot="1" x14ac:dyDescent="0.3"/>
    <row r="2" spans="1:5" ht="15.75" thickBot="1" x14ac:dyDescent="0.3">
      <c r="A2" s="757" t="s">
        <v>3</v>
      </c>
      <c r="B2" s="758"/>
      <c r="C2" s="758"/>
      <c r="D2" s="758"/>
      <c r="E2" s="759"/>
    </row>
    <row r="3" spans="1:5" ht="58.15" customHeight="1" thickBot="1" x14ac:dyDescent="0.3">
      <c r="A3" s="765"/>
      <c r="B3" s="769" t="s">
        <v>4</v>
      </c>
      <c r="C3" s="1054" t="s">
        <v>5</v>
      </c>
      <c r="D3" s="1054" t="s">
        <v>6</v>
      </c>
      <c r="E3" s="764" t="s">
        <v>7</v>
      </c>
    </row>
    <row r="4" spans="1:5" x14ac:dyDescent="0.25">
      <c r="A4" s="766" t="s">
        <v>8</v>
      </c>
      <c r="B4" s="770"/>
      <c r="C4" s="783">
        <f>SUM('Existing Source Loads'!G11:G12)</f>
        <v>30.042000000000002</v>
      </c>
      <c r="D4" s="783">
        <f>SUM('Existing Source Loads'!G9:G10)</f>
        <v>182.64</v>
      </c>
      <c r="E4" s="784">
        <f>SUM('Existing Source Loads'!G13:G14)</f>
        <v>15383.849999999999</v>
      </c>
    </row>
    <row r="5" spans="1:5" x14ac:dyDescent="0.25">
      <c r="A5" s="773" t="s">
        <v>9</v>
      </c>
      <c r="B5" s="399"/>
      <c r="C5" s="877">
        <f>SUM('Existing Source Loads'!H21:H22)+C4</f>
        <v>289.56640500000003</v>
      </c>
      <c r="D5" s="877">
        <f>SUM('Existing Source Loads'!H19:H20)+D4</f>
        <v>1527.4546949999999</v>
      </c>
      <c r="E5" s="969">
        <f>SUM('Existing Source Loads'!H23:H24)</f>
        <v>109133.88884999999</v>
      </c>
    </row>
    <row r="6" spans="1:5" ht="15.75" thickBot="1" x14ac:dyDescent="0.3">
      <c r="A6" s="767" t="s">
        <v>10</v>
      </c>
      <c r="B6" s="771"/>
      <c r="C6" s="785">
        <f>SUM('Existing Source Loads'!E39:E40)</f>
        <v>757.88000000000011</v>
      </c>
      <c r="D6" s="785">
        <f>SUM('Existing Source Loads'!E37:E38)</f>
        <v>3845.4513000000002</v>
      </c>
      <c r="E6" s="786">
        <f>SUM('Existing Source Loads'!E41:E42)</f>
        <v>311791.60999999993</v>
      </c>
    </row>
    <row r="7" spans="1:5" ht="30" x14ac:dyDescent="0.25">
      <c r="A7" s="1066" t="s">
        <v>11</v>
      </c>
      <c r="B7" s="772" t="s">
        <v>12</v>
      </c>
      <c r="C7" s="777">
        <f>SUM('New and GF Source Loads'!BC12:BC13)</f>
        <v>122.86101912877065</v>
      </c>
      <c r="D7" s="777">
        <f>SUM('New and GF Source Loads'!BD12:BD13)</f>
        <v>471.88595223417599</v>
      </c>
      <c r="E7" s="787">
        <f>SUM('New and GF Source Loads'!BE12:BE13)</f>
        <v>55702.286161812575</v>
      </c>
    </row>
    <row r="8" spans="1:5" x14ac:dyDescent="0.25">
      <c r="A8" s="1067"/>
      <c r="B8" s="772" t="s">
        <v>13</v>
      </c>
      <c r="C8" s="777">
        <f>SUM('Structural BMP Accounting'!AM11:AM24)</f>
        <v>70.385313103310509</v>
      </c>
      <c r="D8" s="777">
        <f>SUM('Structural BMP Accounting'!AN11:AN24)</f>
        <v>268.65322810107546</v>
      </c>
      <c r="E8" s="780">
        <f>SUM('Structural BMP Accounting'!AO11:AO24)</f>
        <v>33558.22942828614</v>
      </c>
    </row>
    <row r="9" spans="1:5" x14ac:dyDescent="0.25">
      <c r="A9" s="1067"/>
      <c r="B9" s="772" t="s">
        <v>14</v>
      </c>
      <c r="C9" s="777">
        <f>SUM('Stream Restoration Accounting'!AE5:AE52)</f>
        <v>246.26284408679018</v>
      </c>
      <c r="D9" s="777">
        <f>SUM('Stream Restoration Accounting'!AF5:AF52)</f>
        <v>244.41494616190093</v>
      </c>
      <c r="E9" s="787">
        <f>SUM('Stream Restoration Accounting'!AG5:AG52)</f>
        <v>354349.88024728152</v>
      </c>
    </row>
    <row r="10" spans="1:5" ht="45" x14ac:dyDescent="0.25">
      <c r="A10" s="1068"/>
      <c r="B10" s="772" t="s">
        <v>15</v>
      </c>
      <c r="C10" s="777">
        <f>'Historical BMP Accounting'!AQ13</f>
        <v>253.25498788856521</v>
      </c>
      <c r="D10" s="777">
        <f>'Historical BMP Accounting'!AR13</f>
        <v>2601.3678599713094</v>
      </c>
      <c r="E10" s="787">
        <f>'Historical BMP Accounting'!AS13</f>
        <v>228654.02180873335</v>
      </c>
    </row>
    <row r="11" spans="1:5" ht="30" x14ac:dyDescent="0.25">
      <c r="A11" s="1067"/>
      <c r="B11" s="776" t="s">
        <v>16</v>
      </c>
      <c r="C11" s="782">
        <v>0</v>
      </c>
      <c r="D11" s="777">
        <f>3.6*2.47*42</f>
        <v>373.46400000000006</v>
      </c>
      <c r="E11" s="780">
        <v>0</v>
      </c>
    </row>
    <row r="12" spans="1:5" ht="30.6" customHeight="1" thickBot="1" x14ac:dyDescent="0.3">
      <c r="A12" s="1069"/>
      <c r="B12" s="772" t="s">
        <v>17</v>
      </c>
      <c r="C12" s="777">
        <f>NMP!B23</f>
        <v>0.12715495867768595</v>
      </c>
      <c r="D12" s="777">
        <f>NMP!B22</f>
        <v>0.8888131611570248</v>
      </c>
      <c r="E12" s="780">
        <v>0</v>
      </c>
    </row>
    <row r="13" spans="1:5" x14ac:dyDescent="0.25">
      <c r="A13" s="768" t="s">
        <v>18</v>
      </c>
      <c r="B13" s="770"/>
      <c r="C13" s="778">
        <f>SUM(C7:C12)</f>
        <v>692.89131916611427</v>
      </c>
      <c r="D13" s="778">
        <f>SUM(D7:D12)</f>
        <v>3960.6747996296185</v>
      </c>
      <c r="E13" s="989">
        <f>SUM(E7:E12)</f>
        <v>672264.41764611355</v>
      </c>
    </row>
    <row r="14" spans="1:5" x14ac:dyDescent="0.25">
      <c r="A14" s="773" t="s">
        <v>19</v>
      </c>
      <c r="B14" s="399"/>
      <c r="C14" s="779">
        <f>C6-C13</f>
        <v>64.988680833885837</v>
      </c>
      <c r="D14" s="779">
        <f>D6-D13</f>
        <v>-115.22349962961835</v>
      </c>
      <c r="E14" s="781">
        <f>E6-E13</f>
        <v>-360472.80764611362</v>
      </c>
    </row>
    <row r="15" spans="1:5" ht="15.75" thickBot="1" x14ac:dyDescent="0.3">
      <c r="A15" s="767" t="s">
        <v>20</v>
      </c>
      <c r="B15" s="771"/>
      <c r="C15" s="774">
        <f>C13/C6</f>
        <v>0.91424937874876522</v>
      </c>
      <c r="D15" s="774">
        <f>D13/D6</f>
        <v>1.0299635831117191</v>
      </c>
      <c r="E15" s="775">
        <f>E13/E6</f>
        <v>2.1561337639781701</v>
      </c>
    </row>
    <row r="16" spans="1:5" ht="15.75" hidden="1" thickBot="1" x14ac:dyDescent="0.3">
      <c r="A16" s="1053"/>
      <c r="C16" s="774"/>
      <c r="D16" s="774"/>
      <c r="E16" s="775"/>
    </row>
    <row r="17" spans="1:5" ht="15.75" hidden="1" thickBot="1" x14ac:dyDescent="0.3">
      <c r="C17" s="630">
        <v>64.400000000000006</v>
      </c>
      <c r="D17" s="630">
        <v>428.04</v>
      </c>
      <c r="E17" s="631">
        <v>19949.96</v>
      </c>
    </row>
    <row r="18" spans="1:5" ht="15.75" hidden="1" thickBot="1" x14ac:dyDescent="0.3">
      <c r="A18" t="s">
        <v>21</v>
      </c>
      <c r="C18" s="630">
        <v>469.74</v>
      </c>
      <c r="D18" s="630">
        <v>518.1</v>
      </c>
      <c r="E18" s="631">
        <v>310031.03999999998</v>
      </c>
    </row>
    <row r="19" spans="1:5" hidden="1" x14ac:dyDescent="0.25">
      <c r="C19" s="632"/>
      <c r="D19" s="632"/>
      <c r="E19" s="633"/>
    </row>
    <row r="20" spans="1:5" hidden="1" x14ac:dyDescent="0.25"/>
    <row r="21" spans="1:5" hidden="1" x14ac:dyDescent="0.25">
      <c r="C21">
        <f>0.05*C6</f>
        <v>37.894000000000005</v>
      </c>
      <c r="D21">
        <f>0.05*D6</f>
        <v>192.27256500000001</v>
      </c>
      <c r="E21">
        <f>0.05*E6</f>
        <v>15589.580499999996</v>
      </c>
    </row>
    <row r="22" spans="1:5" hidden="1" x14ac:dyDescent="0.25">
      <c r="C22" s="580">
        <f>C13-C21</f>
        <v>654.99731916611427</v>
      </c>
      <c r="D22" s="580">
        <f>D13-D21</f>
        <v>3768.4022346296183</v>
      </c>
      <c r="E22" s="580">
        <f>E13-E21</f>
        <v>656674.83714611351</v>
      </c>
    </row>
    <row r="23" spans="1:5" hidden="1" x14ac:dyDescent="0.25"/>
    <row r="24" spans="1:5" hidden="1" x14ac:dyDescent="0.25"/>
    <row r="25" spans="1:5" hidden="1" x14ac:dyDescent="0.25">
      <c r="B25" s="1064"/>
      <c r="C25" s="1065"/>
      <c r="D25" s="1065"/>
      <c r="E25" s="1065"/>
    </row>
    <row r="26" spans="1:5" ht="15.75" thickBot="1" x14ac:dyDescent="0.3">
      <c r="C26" s="545"/>
      <c r="D26" s="545"/>
      <c r="E26" s="545"/>
    </row>
    <row r="27" spans="1:5" ht="15.75" thickBot="1" x14ac:dyDescent="0.3">
      <c r="B27" s="976" t="s">
        <v>22</v>
      </c>
      <c r="C27" s="977">
        <f>C13-C5</f>
        <v>403.32491416611424</v>
      </c>
      <c r="D27" s="977">
        <f>D13-D5</f>
        <v>2433.2201046296186</v>
      </c>
      <c r="E27" s="978">
        <f>E13-E5</f>
        <v>563130.52879611356</v>
      </c>
    </row>
    <row r="28" spans="1:5" x14ac:dyDescent="0.25">
      <c r="C28" s="874"/>
      <c r="D28" s="874"/>
      <c r="E28" s="874"/>
    </row>
    <row r="29" spans="1:5" x14ac:dyDescent="0.25">
      <c r="C29" s="874"/>
      <c r="D29" s="874"/>
      <c r="E29" s="874"/>
    </row>
    <row r="30" spans="1:5" x14ac:dyDescent="0.25">
      <c r="C30" s="874"/>
      <c r="D30" s="874"/>
      <c r="E30" s="874"/>
    </row>
    <row r="31" spans="1:5" x14ac:dyDescent="0.25">
      <c r="C31" s="874"/>
      <c r="D31" s="874"/>
      <c r="E31" s="874"/>
    </row>
    <row r="32" spans="1:5" x14ac:dyDescent="0.25">
      <c r="C32" s="874"/>
      <c r="D32" s="874"/>
      <c r="E32" s="874"/>
    </row>
    <row r="33" spans="3:5" x14ac:dyDescent="0.25">
      <c r="C33" s="874"/>
      <c r="D33" s="874"/>
      <c r="E33" s="874"/>
    </row>
    <row r="34" spans="3:5" x14ac:dyDescent="0.25">
      <c r="C34" s="874"/>
      <c r="D34" s="874"/>
      <c r="E34" s="874"/>
    </row>
    <row r="35" spans="3:5" x14ac:dyDescent="0.25">
      <c r="C35" s="874"/>
      <c r="D35" s="874"/>
      <c r="E35" s="874"/>
    </row>
    <row r="36" spans="3:5" x14ac:dyDescent="0.25">
      <c r="C36" s="874"/>
      <c r="D36" s="874"/>
      <c r="E36" s="874"/>
    </row>
    <row r="37" spans="3:5" x14ac:dyDescent="0.25">
      <c r="C37" s="874"/>
      <c r="D37" s="874"/>
      <c r="E37" s="874"/>
    </row>
    <row r="38" spans="3:5" x14ac:dyDescent="0.25">
      <c r="C38" s="874"/>
      <c r="D38" s="874"/>
      <c r="E38" s="874"/>
    </row>
    <row r="39" spans="3:5" x14ac:dyDescent="0.25">
      <c r="C39" s="874"/>
      <c r="D39" s="874"/>
      <c r="E39" s="874"/>
    </row>
    <row r="40" spans="3:5" x14ac:dyDescent="0.25">
      <c r="C40" s="874"/>
      <c r="D40" s="874"/>
      <c r="E40" s="874"/>
    </row>
    <row r="41" spans="3:5" x14ac:dyDescent="0.25">
      <c r="C41" s="874"/>
      <c r="D41" s="874"/>
      <c r="E41" s="874"/>
    </row>
    <row r="42" spans="3:5" x14ac:dyDescent="0.25">
      <c r="C42" s="874"/>
      <c r="D42" s="874"/>
      <c r="E42" s="874"/>
    </row>
    <row r="43" spans="3:5" x14ac:dyDescent="0.25">
      <c r="C43" s="874"/>
      <c r="D43" s="874"/>
      <c r="E43" s="874"/>
    </row>
    <row r="44" spans="3:5" x14ac:dyDescent="0.25">
      <c r="C44" s="874"/>
      <c r="D44" s="874"/>
      <c r="E44" s="874"/>
    </row>
    <row r="45" spans="3:5" x14ac:dyDescent="0.25">
      <c r="C45" s="874"/>
      <c r="D45" s="874"/>
      <c r="E45" s="874"/>
    </row>
    <row r="46" spans="3:5" x14ac:dyDescent="0.25">
      <c r="C46" s="874"/>
      <c r="D46" s="874"/>
      <c r="E46" s="874"/>
    </row>
    <row r="47" spans="3:5" x14ac:dyDescent="0.25">
      <c r="C47" s="874"/>
      <c r="D47" s="874"/>
      <c r="E47" s="874"/>
    </row>
    <row r="48" spans="3:5" x14ac:dyDescent="0.25">
      <c r="C48" s="874"/>
      <c r="D48" s="874"/>
      <c r="E48" s="874"/>
    </row>
    <row r="49" spans="3:5" x14ac:dyDescent="0.25">
      <c r="C49" s="874"/>
      <c r="D49" s="874"/>
      <c r="E49" s="874"/>
    </row>
    <row r="50" spans="3:5" x14ac:dyDescent="0.25">
      <c r="C50" s="874"/>
      <c r="D50" s="874"/>
      <c r="E50" s="874"/>
    </row>
    <row r="51" spans="3:5" x14ac:dyDescent="0.25">
      <c r="C51" s="874"/>
      <c r="D51" s="874"/>
      <c r="E51" s="874"/>
    </row>
    <row r="52" spans="3:5" x14ac:dyDescent="0.25">
      <c r="C52" s="874"/>
      <c r="D52" s="874"/>
      <c r="E52" s="874"/>
    </row>
    <row r="53" spans="3:5" x14ac:dyDescent="0.25">
      <c r="C53" s="874"/>
      <c r="D53" s="874"/>
      <c r="E53" s="874"/>
    </row>
    <row r="54" spans="3:5" x14ac:dyDescent="0.25">
      <c r="C54" s="874"/>
      <c r="D54" s="874"/>
      <c r="E54" s="874"/>
    </row>
    <row r="55" spans="3:5" x14ac:dyDescent="0.25">
      <c r="C55" s="874"/>
      <c r="D55" s="874"/>
      <c r="E55" s="874"/>
    </row>
    <row r="56" spans="3:5" x14ac:dyDescent="0.25">
      <c r="C56" s="874"/>
      <c r="D56" s="874"/>
      <c r="E56" s="874"/>
    </row>
    <row r="57" spans="3:5" x14ac:dyDescent="0.25">
      <c r="C57" s="874"/>
      <c r="D57" s="874"/>
      <c r="E57" s="874"/>
    </row>
    <row r="58" spans="3:5" x14ac:dyDescent="0.25">
      <c r="C58" s="874"/>
      <c r="D58" s="874"/>
      <c r="E58" s="874"/>
    </row>
    <row r="59" spans="3:5" x14ac:dyDescent="0.25">
      <c r="C59" s="874"/>
      <c r="D59" s="874"/>
      <c r="E59" s="874"/>
    </row>
    <row r="60" spans="3:5" x14ac:dyDescent="0.25">
      <c r="C60" s="874"/>
      <c r="D60" s="874"/>
      <c r="E60" s="874"/>
    </row>
    <row r="61" spans="3:5" x14ac:dyDescent="0.25">
      <c r="C61" s="874"/>
      <c r="D61" s="874"/>
      <c r="E61" s="874"/>
    </row>
    <row r="62" spans="3:5" x14ac:dyDescent="0.25">
      <c r="C62" s="874"/>
      <c r="D62" s="874"/>
      <c r="E62" s="874"/>
    </row>
    <row r="63" spans="3:5" x14ac:dyDescent="0.25">
      <c r="C63" s="874"/>
      <c r="D63" s="874"/>
      <c r="E63" s="874"/>
    </row>
    <row r="64" spans="3:5" x14ac:dyDescent="0.25">
      <c r="C64" s="874"/>
      <c r="D64" s="874"/>
      <c r="E64" s="874"/>
    </row>
    <row r="65" spans="1:8" x14ac:dyDescent="0.25">
      <c r="C65" s="874"/>
      <c r="D65" s="874"/>
      <c r="E65" s="874"/>
    </row>
    <row r="66" spans="1:8" x14ac:dyDescent="0.25">
      <c r="C66" s="874"/>
      <c r="D66" s="874"/>
      <c r="E66" s="874"/>
    </row>
    <row r="67" spans="1:8" x14ac:dyDescent="0.25">
      <c r="C67" s="874"/>
      <c r="D67" s="874"/>
      <c r="E67" s="874"/>
    </row>
    <row r="68" spans="1:8" x14ac:dyDescent="0.25">
      <c r="C68" s="874"/>
      <c r="D68" s="874"/>
      <c r="E68" s="874"/>
    </row>
    <row r="69" spans="1:8" x14ac:dyDescent="0.25">
      <c r="C69" s="874"/>
      <c r="D69" s="874"/>
      <c r="E69" s="874"/>
    </row>
    <row r="70" spans="1:8" x14ac:dyDescent="0.25">
      <c r="C70" s="874"/>
      <c r="D70" s="874"/>
      <c r="E70" s="874"/>
    </row>
    <row r="71" spans="1:8" x14ac:dyDescent="0.25">
      <c r="C71" s="874"/>
      <c r="D71" s="874"/>
      <c r="E71" s="874"/>
    </row>
    <row r="72" spans="1:8" x14ac:dyDescent="0.25">
      <c r="C72" s="874"/>
      <c r="D72" s="874"/>
      <c r="E72" s="874"/>
    </row>
    <row r="73" spans="1:8" x14ac:dyDescent="0.25">
      <c r="C73" s="874"/>
      <c r="D73" s="874"/>
      <c r="E73" s="874"/>
    </row>
    <row r="74" spans="1:8" x14ac:dyDescent="0.25">
      <c r="C74" s="874"/>
      <c r="D74" s="874"/>
      <c r="E74" s="874"/>
    </row>
    <row r="75" spans="1:8" x14ac:dyDescent="0.25">
      <c r="C75" s="876"/>
      <c r="D75" s="876"/>
      <c r="E75" s="876"/>
    </row>
    <row r="77" spans="1:8" x14ac:dyDescent="0.25">
      <c r="C77" s="874"/>
      <c r="D77" s="874"/>
      <c r="E77" s="874"/>
    </row>
    <row r="79" spans="1:8" hidden="1" x14ac:dyDescent="0.25"/>
    <row r="80" spans="1:8" hidden="1" x14ac:dyDescent="0.25">
      <c r="A80" s="610" t="s">
        <v>23</v>
      </c>
      <c r="B80" s="610"/>
      <c r="C80" s="610"/>
      <c r="D80" s="610"/>
      <c r="E80" s="610"/>
      <c r="F80" s="70"/>
      <c r="G80" s="70"/>
      <c r="H80" s="70"/>
    </row>
    <row r="81" spans="1:8" ht="25.5" hidden="1" x14ac:dyDescent="0.25">
      <c r="A81" s="608" t="s">
        <v>24</v>
      </c>
      <c r="B81" s="608" t="s">
        <v>25</v>
      </c>
      <c r="C81" s="609" t="s">
        <v>26</v>
      </c>
      <c r="D81" s="609" t="s">
        <v>27</v>
      </c>
      <c r="E81" s="609" t="s">
        <v>28</v>
      </c>
      <c r="F81" s="609" t="s">
        <v>29</v>
      </c>
      <c r="G81" s="609" t="s">
        <v>30</v>
      </c>
      <c r="H81" s="609" t="s">
        <v>31</v>
      </c>
    </row>
    <row r="82" spans="1:8" hidden="1" x14ac:dyDescent="0.25">
      <c r="A82" s="606" t="str">
        <f>'Structural BMP Accounting'!A10</f>
        <v>COB-McIntire</v>
      </c>
      <c r="B82" s="606" t="str">
        <f>'Structural BMP Accounting'!B11</f>
        <v xml:space="preserve">Bioretention Basin </v>
      </c>
      <c r="C82" s="1052">
        <v>38.035719999999998</v>
      </c>
      <c r="D82" s="617">
        <v>-78.481390000000005</v>
      </c>
      <c r="E82" s="611">
        <f>'Structural BMP Accounting'!AM11</f>
        <v>1.8206863069233419</v>
      </c>
      <c r="F82" s="611">
        <f>'Structural BMP Accounting'!AN11</f>
        <v>10.395002706274612</v>
      </c>
      <c r="G82" s="611">
        <f>'Structural BMP Accounting'!AO11</f>
        <v>695.15051745331937</v>
      </c>
      <c r="H82" s="612">
        <f>'Structural BMP Accounting'!AR11/1000</f>
        <v>193.80199999999999</v>
      </c>
    </row>
    <row r="83" spans="1:8" hidden="1" x14ac:dyDescent="0.25">
      <c r="A83" s="606" t="str">
        <f>'Structural BMP Accounting'!A14</f>
        <v>Church Road</v>
      </c>
      <c r="B83" s="606" t="str">
        <f>'Structural BMP Accounting'!B16</f>
        <v>Constructed Wetlands</v>
      </c>
      <c r="C83" s="1052">
        <v>38.073174000000002</v>
      </c>
      <c r="D83" s="617">
        <v>-78.476624000000001</v>
      </c>
      <c r="E83" s="611">
        <f>'Structural BMP Accounting'!AM16</f>
        <v>29.591711999999994</v>
      </c>
      <c r="F83" s="611">
        <f>'Structural BMP Accounting'!AN16</f>
        <v>86.298559499999996</v>
      </c>
      <c r="G83" s="611">
        <f>'Structural BMP Accounting'!AO16</f>
        <v>14954.937162</v>
      </c>
      <c r="H83" s="612">
        <f>'Structural BMP Accounting'!AR16/1000</f>
        <v>411.70100000000002</v>
      </c>
    </row>
    <row r="84" spans="1:8" hidden="1" x14ac:dyDescent="0.25">
      <c r="A84" s="606" t="str">
        <f>'Structural BMP Accounting'!A19</f>
        <v>Western Albemarle High School</v>
      </c>
      <c r="B84" s="606" t="str">
        <f>'Structural BMP Accounting'!B20</f>
        <v>Bioretention Basin</v>
      </c>
      <c r="C84" s="1052">
        <v>38.045413000000003</v>
      </c>
      <c r="D84" s="617">
        <v>-78.706719000000007</v>
      </c>
      <c r="E84" s="611">
        <f>'Structural BMP Accounting'!AM20</f>
        <v>6.7949999999999733E-2</v>
      </c>
      <c r="F84" s="611">
        <f>'Structural BMP Accounting'!AN20</f>
        <v>0.37492448174897375</v>
      </c>
      <c r="G84" s="611">
        <f>'Structural BMP Accounting'!AO20</f>
        <v>26.995604918992676</v>
      </c>
      <c r="H84" s="612">
        <f>'Structural BMP Accounting'!AR20/1000</f>
        <v>183.608</v>
      </c>
    </row>
    <row r="85" spans="1:8" ht="30" hidden="1" x14ac:dyDescent="0.25">
      <c r="A85" s="606" t="str">
        <f>'Structural BMP Accounting'!A23</f>
        <v>Woodbrook Lagoon</v>
      </c>
      <c r="B85" s="606" t="str">
        <f>'Structural BMP Accounting'!B24</f>
        <v>Constructed Wetlands &amp; Sand Filter</v>
      </c>
      <c r="C85" s="1052">
        <v>38.083322000000003</v>
      </c>
      <c r="D85" s="617">
        <v>-78.465322</v>
      </c>
      <c r="E85" s="611">
        <f>'Structural BMP Accounting'!AM24</f>
        <v>38.904964796387169</v>
      </c>
      <c r="F85" s="611">
        <f>'Structural BMP Accounting'!AN24</f>
        <v>171.58474141305186</v>
      </c>
      <c r="G85" s="611">
        <f>'Structural BMP Accounting'!AO24</f>
        <v>17881.146143913826</v>
      </c>
      <c r="H85" s="612">
        <f>'Structural BMP Accounting'!AR24/1000</f>
        <v>514.029</v>
      </c>
    </row>
    <row r="86" spans="1:8" hidden="1" x14ac:dyDescent="0.25">
      <c r="A86" s="606" t="e">
        <f>#REF!</f>
        <v>#REF!</v>
      </c>
      <c r="B86" s="606" t="e">
        <f>#REF!</f>
        <v>#REF!</v>
      </c>
      <c r="C86" s="1052">
        <v>38.082681999999998</v>
      </c>
      <c r="D86" s="617">
        <v>-78.486525</v>
      </c>
      <c r="E86" s="611" t="e">
        <f>#REF!</f>
        <v>#REF!</v>
      </c>
      <c r="F86" s="611" t="e">
        <f>#REF!</f>
        <v>#REF!</v>
      </c>
      <c r="G86" s="611" t="e">
        <f>#REF!</f>
        <v>#REF!</v>
      </c>
      <c r="H86" s="612" t="e">
        <f>#REF!/1000</f>
        <v>#REF!</v>
      </c>
    </row>
    <row r="87" spans="1:8" hidden="1" x14ac:dyDescent="0.25">
      <c r="A87" s="606" t="e">
        <f>#REF!</f>
        <v>#REF!</v>
      </c>
      <c r="B87" s="606" t="e">
        <f>#REF!</f>
        <v>#REF!</v>
      </c>
      <c r="C87" s="1052">
        <v>38.067098000000001</v>
      </c>
      <c r="D87" s="617">
        <v>-78.703985000000003</v>
      </c>
      <c r="E87" s="611" t="e">
        <f>#REF!</f>
        <v>#REF!</v>
      </c>
      <c r="F87" s="611" t="e">
        <f>#REF!</f>
        <v>#REF!</v>
      </c>
      <c r="G87" s="611" t="e">
        <f>#REF!</f>
        <v>#REF!</v>
      </c>
      <c r="H87" s="612" t="e">
        <f>#REF!/1000</f>
        <v>#REF!</v>
      </c>
    </row>
    <row r="88" spans="1:8" hidden="1" x14ac:dyDescent="0.25">
      <c r="A88" s="70"/>
      <c r="D88" s="613" t="s">
        <v>32</v>
      </c>
      <c r="E88" s="614" t="e">
        <f>SUM(E82:E87)</f>
        <v>#REF!</v>
      </c>
      <c r="F88" s="614" t="e">
        <f>SUM(F82:F87)</f>
        <v>#REF!</v>
      </c>
      <c r="G88" s="615" t="e">
        <f>SUM(G82:G87)</f>
        <v>#REF!</v>
      </c>
      <c r="H88" s="616" t="e">
        <f>SUM(H82:H87)</f>
        <v>#REF!</v>
      </c>
    </row>
    <row r="89" spans="1:8" hidden="1" x14ac:dyDescent="0.25"/>
    <row r="90" spans="1:8" hidden="1" x14ac:dyDescent="0.25"/>
    <row r="91" spans="1:8" hidden="1" x14ac:dyDescent="0.25"/>
    <row r="92" spans="1:8" hidden="1" x14ac:dyDescent="0.25"/>
    <row r="93" spans="1:8" hidden="1" x14ac:dyDescent="0.25"/>
    <row r="94" spans="1:8" hidden="1" x14ac:dyDescent="0.25"/>
    <row r="95" spans="1:8" hidden="1" x14ac:dyDescent="0.25"/>
    <row r="96" spans="1:8" hidden="1" x14ac:dyDescent="0.25"/>
    <row r="97" spans="1:2" hidden="1" x14ac:dyDescent="0.25"/>
    <row r="98" spans="1:2" hidden="1" x14ac:dyDescent="0.25"/>
    <row r="99" spans="1:2" hidden="1" x14ac:dyDescent="0.25"/>
    <row r="100" spans="1:2" hidden="1" x14ac:dyDescent="0.25"/>
    <row r="101" spans="1:2" hidden="1" x14ac:dyDescent="0.25"/>
    <row r="102" spans="1:2" hidden="1" x14ac:dyDescent="0.25"/>
    <row r="103" spans="1:2" hidden="1" x14ac:dyDescent="0.25"/>
    <row r="104" spans="1:2" hidden="1" x14ac:dyDescent="0.25"/>
    <row r="105" spans="1:2" hidden="1" x14ac:dyDescent="0.25"/>
    <row r="106" spans="1:2" hidden="1" x14ac:dyDescent="0.25"/>
    <row r="107" spans="1:2" hidden="1" x14ac:dyDescent="0.25"/>
    <row r="108" spans="1:2" hidden="1" x14ac:dyDescent="0.25"/>
    <row r="109" spans="1:2" hidden="1" x14ac:dyDescent="0.25">
      <c r="A109" t="s">
        <v>33</v>
      </c>
      <c r="B109" t="s">
        <v>34</v>
      </c>
    </row>
    <row r="110" spans="1:2" hidden="1" x14ac:dyDescent="0.25">
      <c r="A110" t="s">
        <v>35</v>
      </c>
      <c r="B110">
        <v>2.4700000000000002</v>
      </c>
    </row>
    <row r="111" spans="1:2" ht="15.75" hidden="1" thickBot="1" x14ac:dyDescent="0.3">
      <c r="A111" s="652" t="s">
        <v>36</v>
      </c>
      <c r="B111" s="652">
        <v>3.6</v>
      </c>
    </row>
    <row r="112" spans="1:2" hidden="1" x14ac:dyDescent="0.25">
      <c r="A112" s="3" t="s">
        <v>37</v>
      </c>
      <c r="B112" t="s">
        <v>38</v>
      </c>
    </row>
    <row r="113" hidden="1" x14ac:dyDescent="0.25"/>
    <row r="114" hidden="1" x14ac:dyDescent="0.25"/>
  </sheetData>
  <mergeCells count="2">
    <mergeCell ref="B25:E25"/>
    <mergeCell ref="A7:A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topLeftCell="A8" workbookViewId="0">
      <selection activeCell="J11" sqref="J11"/>
    </sheetView>
  </sheetViews>
  <sheetFormatPr defaultColWidth="8.85546875" defaultRowHeight="15" x14ac:dyDescent="0.25"/>
  <cols>
    <col min="1" max="1" width="16.140625" customWidth="1"/>
    <col min="2" max="2" width="13" customWidth="1"/>
    <col min="3" max="3" width="12.42578125" customWidth="1"/>
    <col min="4" max="4" width="13" customWidth="1"/>
    <col min="5" max="5" width="11" customWidth="1"/>
    <col min="6" max="6" width="15.140625" customWidth="1"/>
    <col min="7" max="7" width="16" customWidth="1"/>
    <col min="8" max="8" width="12.28515625" customWidth="1"/>
    <col min="9" max="9" width="16.28515625" customWidth="1"/>
  </cols>
  <sheetData>
    <row r="1" spans="1:8" ht="18.75" x14ac:dyDescent="0.3">
      <c r="A1" s="4" t="s">
        <v>39</v>
      </c>
      <c r="B1" s="1053"/>
      <c r="C1" s="1053"/>
      <c r="D1" s="1053"/>
      <c r="E1" s="1053"/>
      <c r="F1" s="1053"/>
      <c r="G1" s="1053"/>
      <c r="H1" s="1053"/>
    </row>
    <row r="2" spans="1:8" ht="15.75" x14ac:dyDescent="0.25">
      <c r="A2" s="1053" t="s">
        <v>40</v>
      </c>
      <c r="B2" s="532"/>
      <c r="C2" s="532"/>
      <c r="D2" s="532"/>
      <c r="E2" s="532"/>
      <c r="F2" s="532"/>
      <c r="G2" s="532"/>
      <c r="H2" s="532"/>
    </row>
    <row r="3" spans="1:8" ht="15.75" x14ac:dyDescent="0.25">
      <c r="A3" s="1053" t="s">
        <v>41</v>
      </c>
      <c r="B3" s="532"/>
      <c r="C3" s="532"/>
      <c r="D3" s="532"/>
      <c r="E3" s="532"/>
      <c r="F3" s="532"/>
      <c r="G3" s="532"/>
      <c r="H3" s="532"/>
    </row>
    <row r="4" spans="1:8" ht="15.75" x14ac:dyDescent="0.25">
      <c r="A4" s="533" t="s">
        <v>42</v>
      </c>
      <c r="B4" s="532"/>
      <c r="C4" s="532"/>
      <c r="D4" s="532"/>
      <c r="E4" s="532"/>
      <c r="F4" s="532"/>
      <c r="G4" s="532"/>
      <c r="H4" s="532"/>
    </row>
    <row r="5" spans="1:8" x14ac:dyDescent="0.25">
      <c r="A5" s="1053"/>
      <c r="B5" s="1053"/>
      <c r="C5" s="1053"/>
      <c r="D5" s="1053"/>
      <c r="E5" s="1053"/>
      <c r="F5" s="1053"/>
      <c r="G5" s="1053"/>
      <c r="H5" s="1053"/>
    </row>
    <row r="6" spans="1:8" x14ac:dyDescent="0.25">
      <c r="A6" s="1053" t="s">
        <v>43</v>
      </c>
      <c r="B6" s="1053"/>
      <c r="C6" s="1053"/>
      <c r="D6" s="1053"/>
      <c r="E6" s="1053"/>
      <c r="F6" s="1053"/>
      <c r="G6" s="1053"/>
      <c r="H6" s="1053"/>
    </row>
    <row r="7" spans="1:8" x14ac:dyDescent="0.25">
      <c r="A7" s="1053" t="s">
        <v>44</v>
      </c>
      <c r="B7" s="1053"/>
      <c r="C7" s="1053"/>
      <c r="D7" s="1053"/>
      <c r="E7" s="1053"/>
      <c r="F7" s="1053"/>
      <c r="G7" s="1053"/>
      <c r="H7" s="1053"/>
    </row>
    <row r="8" spans="1:8" ht="75" x14ac:dyDescent="0.25">
      <c r="A8" s="993" t="s">
        <v>45</v>
      </c>
      <c r="B8" s="993" t="s">
        <v>46</v>
      </c>
      <c r="C8" s="994" t="s">
        <v>47</v>
      </c>
      <c r="D8" s="994" t="s">
        <v>48</v>
      </c>
      <c r="E8" s="994" t="s">
        <v>49</v>
      </c>
      <c r="F8" s="994" t="s">
        <v>50</v>
      </c>
      <c r="G8" s="994" t="s">
        <v>51</v>
      </c>
      <c r="H8" s="994" t="s">
        <v>52</v>
      </c>
    </row>
    <row r="9" spans="1:8" ht="30" x14ac:dyDescent="0.25">
      <c r="A9" s="534" t="s">
        <v>53</v>
      </c>
      <c r="B9" s="1073" t="s">
        <v>54</v>
      </c>
      <c r="C9" s="993">
        <v>1963</v>
      </c>
      <c r="D9" s="535">
        <v>9.39</v>
      </c>
      <c r="E9" s="536">
        <f t="shared" ref="E9:E14" si="0">C9*D9</f>
        <v>18432.57</v>
      </c>
      <c r="F9" s="535">
        <v>0.04</v>
      </c>
      <c r="G9" s="536">
        <f t="shared" ref="G9:G14" si="1">C9*F9</f>
        <v>78.52</v>
      </c>
      <c r="H9" s="1077">
        <f>G9+G10</f>
        <v>182.64</v>
      </c>
    </row>
    <row r="10" spans="1:8" ht="30" x14ac:dyDescent="0.25">
      <c r="A10" s="534" t="s">
        <v>55</v>
      </c>
      <c r="B10" s="1073"/>
      <c r="C10" s="993">
        <v>5206</v>
      </c>
      <c r="D10" s="535">
        <v>6.99</v>
      </c>
      <c r="E10" s="536">
        <f t="shared" si="0"/>
        <v>36389.94</v>
      </c>
      <c r="F10" s="535">
        <v>0.02</v>
      </c>
      <c r="G10" s="536">
        <f t="shared" si="1"/>
        <v>104.12</v>
      </c>
      <c r="H10" s="1078"/>
    </row>
    <row r="11" spans="1:8" ht="30" x14ac:dyDescent="0.25">
      <c r="A11" s="534" t="s">
        <v>53</v>
      </c>
      <c r="B11" s="1073" t="s">
        <v>56</v>
      </c>
      <c r="C11" s="993">
        <v>1963</v>
      </c>
      <c r="D11" s="535">
        <v>1.76</v>
      </c>
      <c r="E11" s="536">
        <f t="shared" si="0"/>
        <v>3454.88</v>
      </c>
      <c r="F11" s="535">
        <v>0.01</v>
      </c>
      <c r="G11" s="536">
        <f>C11*F11</f>
        <v>19.63</v>
      </c>
      <c r="H11" s="1077">
        <f>G11+G12</f>
        <v>30.042000000000002</v>
      </c>
    </row>
    <row r="12" spans="1:8" ht="30" x14ac:dyDescent="0.25">
      <c r="A12" s="534" t="s">
        <v>55</v>
      </c>
      <c r="B12" s="1073"/>
      <c r="C12" s="993">
        <v>5206</v>
      </c>
      <c r="D12" s="535">
        <v>0.5</v>
      </c>
      <c r="E12" s="536">
        <f t="shared" si="0"/>
        <v>2603</v>
      </c>
      <c r="F12" s="535">
        <v>2E-3</v>
      </c>
      <c r="G12" s="536">
        <f t="shared" si="1"/>
        <v>10.412000000000001</v>
      </c>
      <c r="H12" s="1078"/>
    </row>
    <row r="13" spans="1:8" ht="30" x14ac:dyDescent="0.25">
      <c r="A13" s="534" t="s">
        <v>53</v>
      </c>
      <c r="B13" s="1070" t="s">
        <v>57</v>
      </c>
      <c r="C13" s="993">
        <v>1963</v>
      </c>
      <c r="D13" s="535">
        <v>676.94</v>
      </c>
      <c r="E13" s="536">
        <f t="shared" si="0"/>
        <v>1328833.2200000002</v>
      </c>
      <c r="F13" s="535">
        <v>6.67</v>
      </c>
      <c r="G13" s="536">
        <f t="shared" si="1"/>
        <v>13093.21</v>
      </c>
      <c r="H13" s="1077">
        <f>G13+G14</f>
        <v>15383.849999999999</v>
      </c>
    </row>
    <row r="14" spans="1:8" ht="30" x14ac:dyDescent="0.25">
      <c r="A14" s="534" t="s">
        <v>55</v>
      </c>
      <c r="B14" s="1070"/>
      <c r="C14" s="993">
        <v>5206</v>
      </c>
      <c r="D14" s="535">
        <v>101.08</v>
      </c>
      <c r="E14" s="536">
        <f t="shared" si="0"/>
        <v>526222.48</v>
      </c>
      <c r="F14" s="535">
        <v>0.44</v>
      </c>
      <c r="G14" s="536">
        <f t="shared" si="1"/>
        <v>2290.64</v>
      </c>
      <c r="H14" s="1078"/>
    </row>
    <row r="15" spans="1:8" x14ac:dyDescent="0.25">
      <c r="A15" s="69"/>
      <c r="B15" s="537"/>
      <c r="C15" s="538"/>
      <c r="D15" s="538"/>
      <c r="E15" s="539"/>
      <c r="F15" s="538"/>
      <c r="G15" s="539"/>
      <c r="H15" s="539"/>
    </row>
    <row r="16" spans="1:8" x14ac:dyDescent="0.25">
      <c r="A16" s="1053" t="s">
        <v>58</v>
      </c>
      <c r="B16" s="1053"/>
      <c r="C16" s="1053"/>
      <c r="D16" s="1053"/>
      <c r="E16" s="1053"/>
      <c r="F16" s="1053"/>
      <c r="G16" s="1053"/>
      <c r="H16" s="1053"/>
    </row>
    <row r="17" spans="1:9" x14ac:dyDescent="0.25">
      <c r="A17" s="1053" t="s">
        <v>44</v>
      </c>
      <c r="B17" s="1053"/>
      <c r="C17" s="1053"/>
      <c r="D17" s="1053"/>
      <c r="E17" s="1053"/>
      <c r="F17" s="1053"/>
      <c r="G17" s="1053"/>
      <c r="H17" s="1053"/>
    </row>
    <row r="18" spans="1:9" ht="90" x14ac:dyDescent="0.25">
      <c r="A18" s="993" t="s">
        <v>45</v>
      </c>
      <c r="B18" s="993" t="s">
        <v>46</v>
      </c>
      <c r="C18" s="994" t="s">
        <v>47</v>
      </c>
      <c r="D18" s="994" t="s">
        <v>59</v>
      </c>
      <c r="E18" s="994" t="s">
        <v>51</v>
      </c>
      <c r="F18" s="994" t="s">
        <v>52</v>
      </c>
      <c r="G18" s="994" t="s">
        <v>60</v>
      </c>
      <c r="H18" s="994" t="s">
        <v>61</v>
      </c>
      <c r="I18" s="994" t="s">
        <v>62</v>
      </c>
    </row>
    <row r="19" spans="1:9" ht="30" x14ac:dyDescent="0.25">
      <c r="A19" s="534" t="s">
        <v>53</v>
      </c>
      <c r="B19" s="1073" t="s">
        <v>54</v>
      </c>
      <c r="C19" s="993">
        <v>1963</v>
      </c>
      <c r="D19" s="535">
        <v>0.04</v>
      </c>
      <c r="E19" s="536">
        <f t="shared" ref="E19:E24" si="2">C19*D19</f>
        <v>78.52</v>
      </c>
      <c r="F19" s="1077">
        <f>E19+E20</f>
        <v>182.64</v>
      </c>
      <c r="G19" s="582">
        <v>0.29578500000000002</v>
      </c>
      <c r="H19" s="536">
        <f>C19*G19</f>
        <v>580.62595500000009</v>
      </c>
      <c r="I19" s="1079">
        <f>SUM(F19,H19,H20)</f>
        <v>1527.4546949999999</v>
      </c>
    </row>
    <row r="20" spans="1:9" ht="30" x14ac:dyDescent="0.25">
      <c r="A20" s="534" t="s">
        <v>55</v>
      </c>
      <c r="B20" s="1073"/>
      <c r="C20" s="993">
        <v>5206</v>
      </c>
      <c r="D20" s="535">
        <v>0.02</v>
      </c>
      <c r="E20" s="536">
        <f t="shared" si="2"/>
        <v>104.12</v>
      </c>
      <c r="F20" s="1078"/>
      <c r="G20" s="582">
        <v>0.14678999999999998</v>
      </c>
      <c r="H20" s="536">
        <f t="shared" ref="H20:H24" si="3">C20*G20</f>
        <v>764.18873999999983</v>
      </c>
      <c r="I20" s="1079"/>
    </row>
    <row r="21" spans="1:9" ht="30" x14ac:dyDescent="0.25">
      <c r="A21" s="534" t="s">
        <v>53</v>
      </c>
      <c r="B21" s="1073" t="s">
        <v>56</v>
      </c>
      <c r="C21" s="993">
        <v>1963</v>
      </c>
      <c r="D21" s="535">
        <v>0.01</v>
      </c>
      <c r="E21" s="536">
        <f t="shared" si="2"/>
        <v>19.63</v>
      </c>
      <c r="F21" s="1077">
        <f>E21+E22</f>
        <v>30.042000000000002</v>
      </c>
      <c r="G21" s="582">
        <v>9.8559999999999995E-2</v>
      </c>
      <c r="H21" s="536">
        <f t="shared" si="3"/>
        <v>193.47327999999999</v>
      </c>
      <c r="I21" s="1079">
        <f>SUM(F21,H21,H22)</f>
        <v>289.56640499999997</v>
      </c>
    </row>
    <row r="22" spans="1:9" ht="30" x14ac:dyDescent="0.25">
      <c r="A22" s="534" t="s">
        <v>55</v>
      </c>
      <c r="B22" s="1073"/>
      <c r="C22" s="993">
        <v>5206</v>
      </c>
      <c r="D22" s="535">
        <v>2E-3</v>
      </c>
      <c r="E22" s="536">
        <f t="shared" si="2"/>
        <v>10.412000000000001</v>
      </c>
      <c r="F22" s="1078"/>
      <c r="G22" s="582">
        <v>1.2687499999999999E-2</v>
      </c>
      <c r="H22" s="536">
        <f t="shared" si="3"/>
        <v>66.051124999999999</v>
      </c>
      <c r="I22" s="1079"/>
    </row>
    <row r="23" spans="1:9" ht="30" x14ac:dyDescent="0.25">
      <c r="A23" s="534" t="s">
        <v>53</v>
      </c>
      <c r="B23" s="1070" t="s">
        <v>57</v>
      </c>
      <c r="C23" s="993">
        <v>1963</v>
      </c>
      <c r="D23" s="535">
        <v>6.67</v>
      </c>
      <c r="E23" s="536">
        <f t="shared" si="2"/>
        <v>13093.21</v>
      </c>
      <c r="F23" s="1077">
        <f>E23+E24</f>
        <v>15383.849999999999</v>
      </c>
      <c r="G23" s="582">
        <v>47.385799999999996</v>
      </c>
      <c r="H23" s="536">
        <f t="shared" si="3"/>
        <v>93018.325399999987</v>
      </c>
      <c r="I23" s="1079">
        <f>SUM(F23,H23,H24)</f>
        <v>124517.73884999998</v>
      </c>
    </row>
    <row r="24" spans="1:9" ht="30" x14ac:dyDescent="0.25">
      <c r="A24" s="534" t="s">
        <v>55</v>
      </c>
      <c r="B24" s="1070"/>
      <c r="C24" s="993">
        <v>5206</v>
      </c>
      <c r="D24" s="535">
        <v>0.44</v>
      </c>
      <c r="E24" s="536">
        <f t="shared" si="2"/>
        <v>2290.64</v>
      </c>
      <c r="F24" s="1078"/>
      <c r="G24" s="582">
        <v>3.0955749999999997</v>
      </c>
      <c r="H24" s="536">
        <f t="shared" si="3"/>
        <v>16115.563449999998</v>
      </c>
      <c r="I24" s="1079"/>
    </row>
    <row r="25" spans="1:9" x14ac:dyDescent="0.25">
      <c r="A25" s="1053"/>
      <c r="B25" s="1053"/>
      <c r="C25" s="1053"/>
      <c r="D25" s="1053"/>
      <c r="E25" s="1053"/>
      <c r="F25" s="1053"/>
      <c r="G25" s="1053"/>
      <c r="H25" s="1053"/>
    </row>
    <row r="26" spans="1:9" x14ac:dyDescent="0.25">
      <c r="A26" s="1080" t="s">
        <v>45</v>
      </c>
      <c r="B26" s="1080" t="s">
        <v>63</v>
      </c>
      <c r="C26" s="1081" t="s">
        <v>64</v>
      </c>
      <c r="D26" s="1081" t="s">
        <v>65</v>
      </c>
      <c r="E26" s="1080" t="s">
        <v>66</v>
      </c>
      <c r="F26" s="1080"/>
      <c r="G26" s="1080"/>
      <c r="H26" s="1080"/>
    </row>
    <row r="27" spans="1:9" ht="45" x14ac:dyDescent="0.25">
      <c r="A27" s="1080"/>
      <c r="B27" s="1080"/>
      <c r="C27" s="1081"/>
      <c r="D27" s="1081"/>
      <c r="E27" s="994" t="s">
        <v>67</v>
      </c>
      <c r="F27" s="994" t="s">
        <v>68</v>
      </c>
      <c r="G27" s="994" t="s">
        <v>69</v>
      </c>
      <c r="H27" s="994" t="s">
        <v>70</v>
      </c>
    </row>
    <row r="28" spans="1:9" ht="30" x14ac:dyDescent="0.25">
      <c r="A28" s="534" t="s">
        <v>53</v>
      </c>
      <c r="B28" s="1073" t="s">
        <v>54</v>
      </c>
      <c r="C28" s="541">
        <v>0.09</v>
      </c>
      <c r="D28" s="993">
        <v>9.39</v>
      </c>
      <c r="E28" s="540">
        <f t="shared" ref="E28:E33" si="4">+C28*D28</f>
        <v>0.84510000000000007</v>
      </c>
      <c r="F28" s="540">
        <f t="shared" ref="F28:F33" si="5">E28*0.05</f>
        <v>4.2255000000000008E-2</v>
      </c>
      <c r="G28" s="531">
        <f t="shared" ref="G28:G33" si="6">E28*0.35</f>
        <v>0.29578500000000002</v>
      </c>
      <c r="H28" s="531">
        <f t="shared" ref="H28:H33" si="7">E28*0.6</f>
        <v>0.50706000000000007</v>
      </c>
    </row>
    <row r="29" spans="1:9" ht="30" x14ac:dyDescent="0.25">
      <c r="A29" s="534" t="s">
        <v>55</v>
      </c>
      <c r="B29" s="1073"/>
      <c r="C29" s="541">
        <v>0.06</v>
      </c>
      <c r="D29" s="993">
        <v>6.99</v>
      </c>
      <c r="E29" s="540">
        <f t="shared" si="4"/>
        <v>0.4194</v>
      </c>
      <c r="F29" s="540">
        <f t="shared" si="5"/>
        <v>2.0970000000000003E-2</v>
      </c>
      <c r="G29" s="531">
        <f t="shared" si="6"/>
        <v>0.14678999999999998</v>
      </c>
      <c r="H29" s="531">
        <f t="shared" si="7"/>
        <v>0.25163999999999997</v>
      </c>
    </row>
    <row r="30" spans="1:9" ht="30" x14ac:dyDescent="0.25">
      <c r="A30" s="534" t="s">
        <v>53</v>
      </c>
      <c r="B30" s="1073" t="s">
        <v>56</v>
      </c>
      <c r="C30" s="541">
        <v>0.16</v>
      </c>
      <c r="D30" s="993">
        <v>1.76</v>
      </c>
      <c r="E30" s="540">
        <f t="shared" si="4"/>
        <v>0.28160000000000002</v>
      </c>
      <c r="F30" s="540">
        <f t="shared" si="5"/>
        <v>1.4080000000000002E-2</v>
      </c>
      <c r="G30" s="531">
        <f t="shared" si="6"/>
        <v>9.8559999999999995E-2</v>
      </c>
      <c r="H30" s="531">
        <f t="shared" si="7"/>
        <v>0.16896</v>
      </c>
    </row>
    <row r="31" spans="1:9" ht="30" x14ac:dyDescent="0.25">
      <c r="A31" s="534" t="s">
        <v>55</v>
      </c>
      <c r="B31" s="1073"/>
      <c r="C31" s="542">
        <v>7.2499999999999995E-2</v>
      </c>
      <c r="D31" s="993">
        <v>0.5</v>
      </c>
      <c r="E31" s="540">
        <f t="shared" si="4"/>
        <v>3.6249999999999998E-2</v>
      </c>
      <c r="F31" s="543">
        <f t="shared" si="5"/>
        <v>1.8124999999999999E-3</v>
      </c>
      <c r="G31" s="531">
        <f t="shared" si="6"/>
        <v>1.2687499999999999E-2</v>
      </c>
      <c r="H31" s="531">
        <f t="shared" si="7"/>
        <v>2.1749999999999999E-2</v>
      </c>
    </row>
    <row r="32" spans="1:9" ht="30" x14ac:dyDescent="0.25">
      <c r="A32" s="534" t="s">
        <v>53</v>
      </c>
      <c r="B32" s="1070" t="s">
        <v>57</v>
      </c>
      <c r="C32" s="541">
        <v>0.2</v>
      </c>
      <c r="D32" s="993">
        <v>676.94</v>
      </c>
      <c r="E32" s="540">
        <f t="shared" si="4"/>
        <v>135.38800000000001</v>
      </c>
      <c r="F32" s="540">
        <f t="shared" si="5"/>
        <v>6.769400000000001</v>
      </c>
      <c r="G32" s="531">
        <f t="shared" si="6"/>
        <v>47.385799999999996</v>
      </c>
      <c r="H32" s="531">
        <f t="shared" si="7"/>
        <v>81.232799999999997</v>
      </c>
    </row>
    <row r="33" spans="1:8" ht="30" x14ac:dyDescent="0.25">
      <c r="A33" s="534" t="s">
        <v>55</v>
      </c>
      <c r="B33" s="1070"/>
      <c r="C33" s="542">
        <v>8.7499999999999994E-2</v>
      </c>
      <c r="D33" s="993">
        <v>101.08</v>
      </c>
      <c r="E33" s="540">
        <f t="shared" si="4"/>
        <v>8.8445</v>
      </c>
      <c r="F33" s="540">
        <f t="shared" si="5"/>
        <v>0.44222500000000003</v>
      </c>
      <c r="G33" s="531">
        <f t="shared" si="6"/>
        <v>3.0955749999999997</v>
      </c>
      <c r="H33" s="531">
        <f t="shared" si="7"/>
        <v>5.3067000000000002</v>
      </c>
    </row>
    <row r="34" spans="1:8" x14ac:dyDescent="0.25">
      <c r="A34" s="1053"/>
      <c r="B34" s="1053"/>
      <c r="C34" s="1053"/>
      <c r="D34" s="1053"/>
      <c r="E34" s="1053"/>
      <c r="F34" s="1053"/>
      <c r="G34" s="1053"/>
      <c r="H34" s="1053"/>
    </row>
    <row r="35" spans="1:8" x14ac:dyDescent="0.25">
      <c r="A35" s="1074" t="s">
        <v>71</v>
      </c>
      <c r="B35" s="1075"/>
      <c r="C35" s="1075"/>
      <c r="D35" s="1075"/>
      <c r="E35" s="1075"/>
      <c r="F35" s="1076"/>
      <c r="G35" s="1053"/>
      <c r="H35" s="1053"/>
    </row>
    <row r="36" spans="1:8" ht="75" x14ac:dyDescent="0.25">
      <c r="A36" s="993" t="s">
        <v>45</v>
      </c>
      <c r="B36" s="993" t="s">
        <v>46</v>
      </c>
      <c r="C36" s="994" t="s">
        <v>72</v>
      </c>
      <c r="D36" s="994" t="s">
        <v>73</v>
      </c>
      <c r="E36" s="1074" t="s">
        <v>74</v>
      </c>
      <c r="F36" s="1076"/>
      <c r="G36" s="544"/>
      <c r="H36" s="545"/>
    </row>
    <row r="37" spans="1:8" ht="30" x14ac:dyDescent="0.25">
      <c r="A37" s="534" t="s">
        <v>53</v>
      </c>
      <c r="B37" s="1073" t="s">
        <v>54</v>
      </c>
      <c r="C37" s="993">
        <v>1963</v>
      </c>
      <c r="D37" s="540">
        <f>E28</f>
        <v>0.84510000000000007</v>
      </c>
      <c r="E37" s="536">
        <f t="shared" ref="E37:E42" si="8">C37*D37</f>
        <v>1658.9313000000002</v>
      </c>
      <c r="F37" s="1071">
        <f>E37+E38</f>
        <v>3845.4513000000002</v>
      </c>
      <c r="G37" s="661"/>
      <c r="H37" s="1053"/>
    </row>
    <row r="38" spans="1:8" ht="30" x14ac:dyDescent="0.25">
      <c r="A38" s="534" t="s">
        <v>55</v>
      </c>
      <c r="B38" s="1073"/>
      <c r="C38" s="993">
        <v>5206</v>
      </c>
      <c r="D38" s="540">
        <v>0.42</v>
      </c>
      <c r="E38" s="536">
        <f t="shared" si="8"/>
        <v>2186.52</v>
      </c>
      <c r="F38" s="1072"/>
      <c r="G38" s="661"/>
      <c r="H38" s="1053"/>
    </row>
    <row r="39" spans="1:8" ht="30" x14ac:dyDescent="0.25">
      <c r="A39" s="534" t="s">
        <v>53</v>
      </c>
      <c r="B39" s="1073" t="s">
        <v>56</v>
      </c>
      <c r="C39" s="993">
        <v>1963</v>
      </c>
      <c r="D39" s="540">
        <v>0.28000000000000003</v>
      </c>
      <c r="E39" s="536">
        <f t="shared" si="8"/>
        <v>549.6400000000001</v>
      </c>
      <c r="F39" s="1071">
        <f>E39+E40</f>
        <v>757.88000000000011</v>
      </c>
      <c r="G39" s="661"/>
      <c r="H39" s="1053"/>
    </row>
    <row r="40" spans="1:8" ht="30" x14ac:dyDescent="0.25">
      <c r="A40" s="534" t="s">
        <v>55</v>
      </c>
      <c r="B40" s="1073"/>
      <c r="C40" s="993">
        <v>5206</v>
      </c>
      <c r="D40" s="540">
        <v>0.04</v>
      </c>
      <c r="E40" s="536">
        <f t="shared" si="8"/>
        <v>208.24</v>
      </c>
      <c r="F40" s="1072"/>
      <c r="G40" s="661"/>
      <c r="H40" s="1053"/>
    </row>
    <row r="41" spans="1:8" ht="30" x14ac:dyDescent="0.25">
      <c r="A41" s="534" t="s">
        <v>53</v>
      </c>
      <c r="B41" s="1070" t="s">
        <v>57</v>
      </c>
      <c r="C41" s="993">
        <v>1963</v>
      </c>
      <c r="D41" s="540">
        <v>135.38999999999999</v>
      </c>
      <c r="E41" s="536">
        <f t="shared" si="8"/>
        <v>265770.56999999995</v>
      </c>
      <c r="F41" s="1071">
        <f>E41+E42</f>
        <v>311791.60999999993</v>
      </c>
      <c r="G41" s="661"/>
      <c r="H41" s="1053"/>
    </row>
    <row r="42" spans="1:8" ht="30" x14ac:dyDescent="0.25">
      <c r="A42" s="534" t="s">
        <v>55</v>
      </c>
      <c r="B42" s="1070"/>
      <c r="C42" s="993">
        <v>5206</v>
      </c>
      <c r="D42" s="540">
        <v>8.84</v>
      </c>
      <c r="E42" s="536">
        <f t="shared" si="8"/>
        <v>46021.04</v>
      </c>
      <c r="F42" s="1072"/>
      <c r="G42" s="661"/>
      <c r="H42" s="1053"/>
    </row>
  </sheetData>
  <mergeCells count="31">
    <mergeCell ref="B9:B10"/>
    <mergeCell ref="H9:H10"/>
    <mergeCell ref="B11:B12"/>
    <mergeCell ref="H11:H12"/>
    <mergeCell ref="B13:B14"/>
    <mergeCell ref="H13:H14"/>
    <mergeCell ref="B19:B20"/>
    <mergeCell ref="F19:F20"/>
    <mergeCell ref="I19:I20"/>
    <mergeCell ref="B21:B22"/>
    <mergeCell ref="F21:F22"/>
    <mergeCell ref="I21:I22"/>
    <mergeCell ref="B23:B24"/>
    <mergeCell ref="F23:F24"/>
    <mergeCell ref="I23:I24"/>
    <mergeCell ref="A26:A27"/>
    <mergeCell ref="B26:B27"/>
    <mergeCell ref="C26:C27"/>
    <mergeCell ref="D26:D27"/>
    <mergeCell ref="E26:H26"/>
    <mergeCell ref="B41:B42"/>
    <mergeCell ref="F41:F42"/>
    <mergeCell ref="B39:B40"/>
    <mergeCell ref="F39:F40"/>
    <mergeCell ref="B28:B29"/>
    <mergeCell ref="B30:B31"/>
    <mergeCell ref="B32:B33"/>
    <mergeCell ref="A35:F35"/>
    <mergeCell ref="E36:F36"/>
    <mergeCell ref="B37:B38"/>
    <mergeCell ref="F37:F3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8"/>
  <sheetViews>
    <sheetView workbookViewId="0"/>
  </sheetViews>
  <sheetFormatPr defaultRowHeight="15" x14ac:dyDescent="0.25"/>
  <cols>
    <col min="1" max="1" width="33.7109375" customWidth="1"/>
    <col min="2" max="2" width="25.7109375" customWidth="1"/>
    <col min="3" max="3" width="16.85546875" customWidth="1"/>
  </cols>
  <sheetData>
    <row r="1" spans="1:4" ht="18.75" x14ac:dyDescent="0.3">
      <c r="A1" s="4" t="s">
        <v>75</v>
      </c>
    </row>
    <row r="2" spans="1:4" ht="15.75" x14ac:dyDescent="0.25">
      <c r="A2" s="532" t="s">
        <v>76</v>
      </c>
    </row>
    <row r="3" spans="1:4" ht="15.75" x14ac:dyDescent="0.25">
      <c r="A3" s="546" t="s">
        <v>77</v>
      </c>
    </row>
    <row r="4" spans="1:4" ht="15.75" x14ac:dyDescent="0.25">
      <c r="A4" s="546"/>
    </row>
    <row r="5" spans="1:4" x14ac:dyDescent="0.25">
      <c r="A5" s="547" t="s">
        <v>78</v>
      </c>
      <c r="B5" s="14" t="s">
        <v>79</v>
      </c>
    </row>
    <row r="6" spans="1:4" x14ac:dyDescent="0.25">
      <c r="A6" s="547" t="s">
        <v>80</v>
      </c>
      <c r="B6" s="14">
        <v>5730</v>
      </c>
    </row>
    <row r="7" spans="1:4" x14ac:dyDescent="0.25">
      <c r="A7" s="547" t="s">
        <v>81</v>
      </c>
      <c r="B7" s="14">
        <v>2719</v>
      </c>
    </row>
    <row r="8" spans="1:4" x14ac:dyDescent="0.25">
      <c r="A8" s="548" t="s">
        <v>82</v>
      </c>
      <c r="B8" s="549">
        <v>14218.6</v>
      </c>
    </row>
    <row r="9" spans="1:4" ht="15.75" x14ac:dyDescent="0.25">
      <c r="A9" s="546"/>
    </row>
    <row r="10" spans="1:4" ht="30.75" customHeight="1" x14ac:dyDescent="0.25">
      <c r="A10" s="1085" t="s">
        <v>83</v>
      </c>
      <c r="B10" s="1086"/>
    </row>
    <row r="11" spans="1:4" ht="15.75" x14ac:dyDescent="0.25">
      <c r="A11" s="571"/>
      <c r="B11" s="572" t="s">
        <v>84</v>
      </c>
    </row>
    <row r="12" spans="1:4" ht="15.75" x14ac:dyDescent="0.25">
      <c r="A12" s="562" t="s">
        <v>85</v>
      </c>
      <c r="B12" s="566">
        <v>464622.8</v>
      </c>
    </row>
    <row r="13" spans="1:4" ht="15.75" x14ac:dyDescent="0.25">
      <c r="A13" s="563" t="s">
        <v>86</v>
      </c>
      <c r="B13" s="567">
        <v>15763</v>
      </c>
    </row>
    <row r="14" spans="1:4" ht="15.75" x14ac:dyDescent="0.25">
      <c r="A14" s="568" t="s">
        <v>87</v>
      </c>
      <c r="B14" s="569"/>
      <c r="D14" s="561"/>
    </row>
    <row r="15" spans="1:4" ht="31.5" x14ac:dyDescent="0.25">
      <c r="A15" s="565" t="s">
        <v>88</v>
      </c>
      <c r="B15" s="567">
        <v>1132.5999999999999</v>
      </c>
      <c r="D15" s="561"/>
    </row>
    <row r="16" spans="1:4" ht="15.75" x14ac:dyDescent="0.25">
      <c r="A16" s="564" t="s">
        <v>89</v>
      </c>
      <c r="B16" s="567">
        <v>452.5</v>
      </c>
    </row>
    <row r="17" spans="1:5" ht="15.75" x14ac:dyDescent="0.25">
      <c r="A17" s="564" t="s">
        <v>90</v>
      </c>
      <c r="B17" s="567">
        <v>1013</v>
      </c>
    </row>
    <row r="18" spans="1:5" ht="15.75" x14ac:dyDescent="0.25">
      <c r="A18" s="564" t="s">
        <v>91</v>
      </c>
      <c r="B18" s="567">
        <v>5935</v>
      </c>
    </row>
    <row r="19" spans="1:5" ht="15.75" x14ac:dyDescent="0.25">
      <c r="A19" s="564" t="s">
        <v>92</v>
      </c>
      <c r="B19" s="567">
        <v>242</v>
      </c>
    </row>
    <row r="20" spans="1:5" ht="15.75" x14ac:dyDescent="0.25">
      <c r="A20" s="568" t="s">
        <v>93</v>
      </c>
      <c r="B20" s="566"/>
    </row>
    <row r="21" spans="1:5" ht="15.75" x14ac:dyDescent="0.25">
      <c r="A21" s="564" t="s">
        <v>94</v>
      </c>
      <c r="B21" s="567">
        <v>40.4</v>
      </c>
    </row>
    <row r="22" spans="1:5" ht="15.75" x14ac:dyDescent="0.25">
      <c r="A22" s="576" t="s">
        <v>95</v>
      </c>
      <c r="B22" s="573">
        <v>14219</v>
      </c>
    </row>
    <row r="23" spans="1:5" ht="15.75" x14ac:dyDescent="0.25">
      <c r="A23" s="577" t="s">
        <v>96</v>
      </c>
      <c r="B23" s="574">
        <v>5206</v>
      </c>
    </row>
    <row r="24" spans="1:5" ht="15.75" x14ac:dyDescent="0.25">
      <c r="A24" s="578" t="s">
        <v>97</v>
      </c>
      <c r="B24" s="575">
        <v>1963</v>
      </c>
    </row>
    <row r="25" spans="1:5" ht="15.75" x14ac:dyDescent="0.25">
      <c r="A25" s="560"/>
    </row>
    <row r="26" spans="1:5" ht="15.75" x14ac:dyDescent="0.25">
      <c r="A26" s="546"/>
    </row>
    <row r="27" spans="1:5" x14ac:dyDescent="0.25">
      <c r="A27" t="s">
        <v>78</v>
      </c>
    </row>
    <row r="28" spans="1:5" x14ac:dyDescent="0.25">
      <c r="A28" s="1080" t="s">
        <v>98</v>
      </c>
      <c r="B28" s="1087" t="s">
        <v>95</v>
      </c>
      <c r="C28" s="1087"/>
    </row>
    <row r="29" spans="1:5" x14ac:dyDescent="0.25">
      <c r="A29" s="1080"/>
      <c r="B29" s="993" t="s">
        <v>99</v>
      </c>
      <c r="C29" s="994" t="s">
        <v>100</v>
      </c>
    </row>
    <row r="30" spans="1:5" x14ac:dyDescent="0.25">
      <c r="A30" s="530" t="s">
        <v>101</v>
      </c>
      <c r="B30" s="298">
        <v>5206</v>
      </c>
      <c r="C30" s="995">
        <v>235.2</v>
      </c>
    </row>
    <row r="31" spans="1:5" x14ac:dyDescent="0.25">
      <c r="A31" s="530" t="s">
        <v>102</v>
      </c>
      <c r="B31" s="298">
        <v>1963</v>
      </c>
      <c r="C31" s="550">
        <v>637</v>
      </c>
    </row>
    <row r="32" spans="1:5" x14ac:dyDescent="0.25">
      <c r="A32" s="530" t="s">
        <v>91</v>
      </c>
      <c r="B32" s="298">
        <v>0</v>
      </c>
      <c r="C32" s="298">
        <v>5935</v>
      </c>
      <c r="E32" s="302"/>
    </row>
    <row r="33" spans="1:3" x14ac:dyDescent="0.25">
      <c r="A33" s="530" t="s">
        <v>103</v>
      </c>
      <c r="B33" s="298">
        <v>0</v>
      </c>
      <c r="C33" s="551">
        <v>242</v>
      </c>
    </row>
    <row r="34" spans="1:3" x14ac:dyDescent="0.25">
      <c r="A34" s="570" t="s">
        <v>104</v>
      </c>
      <c r="B34" s="536">
        <f>SUM(B30:B33)</f>
        <v>7169</v>
      </c>
      <c r="C34" s="536">
        <f>SUM(C30:C33)</f>
        <v>7049.2</v>
      </c>
    </row>
    <row r="37" spans="1:3" x14ac:dyDescent="0.25">
      <c r="A37" s="1053" t="s">
        <v>105</v>
      </c>
      <c r="B37" s="538" t="s">
        <v>79</v>
      </c>
    </row>
    <row r="38" spans="1:3" ht="30" x14ac:dyDescent="0.25">
      <c r="A38" s="1023" t="s">
        <v>106</v>
      </c>
      <c r="B38" s="14">
        <v>101.6</v>
      </c>
    </row>
    <row r="39" spans="1:3" x14ac:dyDescent="0.25">
      <c r="A39" s="529" t="s">
        <v>107</v>
      </c>
      <c r="B39" s="14">
        <v>917.6</v>
      </c>
    </row>
    <row r="40" spans="1:3" x14ac:dyDescent="0.25">
      <c r="A40" s="529" t="s">
        <v>108</v>
      </c>
      <c r="B40" s="14">
        <v>113.5</v>
      </c>
    </row>
    <row r="41" spans="1:3" x14ac:dyDescent="0.25">
      <c r="A41" s="529" t="s">
        <v>109</v>
      </c>
      <c r="B41" s="14">
        <v>1013</v>
      </c>
    </row>
    <row r="42" spans="1:3" ht="15.75" thickBot="1" x14ac:dyDescent="0.3">
      <c r="A42" s="552" t="s">
        <v>89</v>
      </c>
      <c r="B42" s="14">
        <v>452.5</v>
      </c>
    </row>
    <row r="43" spans="1:3" x14ac:dyDescent="0.25">
      <c r="A43" s="1083" t="s">
        <v>110</v>
      </c>
      <c r="B43" s="553" t="s">
        <v>111</v>
      </c>
      <c r="C43" s="554" t="s">
        <v>112</v>
      </c>
    </row>
    <row r="44" spans="1:3" x14ac:dyDescent="0.25">
      <c r="A44" s="1083"/>
      <c r="B44" s="653" t="s">
        <v>113</v>
      </c>
      <c r="C44" s="654" t="s">
        <v>114</v>
      </c>
    </row>
    <row r="45" spans="1:3" ht="15.75" thickBot="1" x14ac:dyDescent="0.3">
      <c r="A45" s="1084"/>
      <c r="B45" s="555" t="s">
        <v>115</v>
      </c>
      <c r="C45" s="556" t="s">
        <v>116</v>
      </c>
    </row>
    <row r="46" spans="1:3" x14ac:dyDescent="0.25">
      <c r="A46" s="1082" t="s">
        <v>117</v>
      </c>
      <c r="B46" s="553" t="s">
        <v>111</v>
      </c>
      <c r="C46" s="554" t="s">
        <v>118</v>
      </c>
    </row>
    <row r="47" spans="1:3" x14ac:dyDescent="0.25">
      <c r="A47" s="1083"/>
      <c r="B47" s="557" t="s">
        <v>115</v>
      </c>
      <c r="C47" s="558" t="s">
        <v>119</v>
      </c>
    </row>
    <row r="48" spans="1:3" ht="15.75" thickBot="1" x14ac:dyDescent="0.3">
      <c r="A48" s="1084"/>
      <c r="B48" s="555" t="s">
        <v>120</v>
      </c>
      <c r="C48" s="556" t="s">
        <v>121</v>
      </c>
    </row>
    <row r="49" spans="1:3" x14ac:dyDescent="0.25">
      <c r="A49" s="1082" t="s">
        <v>122</v>
      </c>
      <c r="B49" s="553" t="s">
        <v>111</v>
      </c>
      <c r="C49" s="554" t="s">
        <v>123</v>
      </c>
    </row>
    <row r="50" spans="1:3" x14ac:dyDescent="0.25">
      <c r="A50" s="1083"/>
      <c r="B50" s="557" t="s">
        <v>115</v>
      </c>
      <c r="C50" s="558" t="s">
        <v>124</v>
      </c>
    </row>
    <row r="51" spans="1:3" ht="15.75" thickBot="1" x14ac:dyDescent="0.3">
      <c r="A51" s="1084"/>
      <c r="B51" s="555" t="s">
        <v>120</v>
      </c>
      <c r="C51" s="556" t="s">
        <v>125</v>
      </c>
    </row>
    <row r="52" spans="1:3" x14ac:dyDescent="0.25">
      <c r="A52" s="1082" t="s">
        <v>126</v>
      </c>
      <c r="B52" s="553" t="s">
        <v>111</v>
      </c>
      <c r="C52" s="554" t="s">
        <v>127</v>
      </c>
    </row>
    <row r="53" spans="1:3" x14ac:dyDescent="0.25">
      <c r="A53" s="1083"/>
      <c r="B53" s="557" t="s">
        <v>115</v>
      </c>
      <c r="C53" s="558" t="s">
        <v>128</v>
      </c>
    </row>
    <row r="54" spans="1:3" x14ac:dyDescent="0.25">
      <c r="A54" s="1083"/>
      <c r="B54" s="530"/>
      <c r="C54" s="559" t="s">
        <v>129</v>
      </c>
    </row>
    <row r="55" spans="1:3" ht="15.75" thickBot="1" x14ac:dyDescent="0.3">
      <c r="A55" s="1084"/>
      <c r="B55" s="555" t="s">
        <v>120</v>
      </c>
      <c r="C55" s="556" t="s">
        <v>130</v>
      </c>
    </row>
    <row r="56" spans="1:3" ht="15.75" thickBot="1" x14ac:dyDescent="0.3">
      <c r="B56" s="650" t="s">
        <v>131</v>
      </c>
      <c r="C56" s="651" t="s">
        <v>132</v>
      </c>
    </row>
    <row r="57" spans="1:3" x14ac:dyDescent="0.25">
      <c r="B57" s="3"/>
    </row>
    <row r="58" spans="1:3" x14ac:dyDescent="0.25">
      <c r="B58" s="3"/>
    </row>
  </sheetData>
  <mergeCells count="7">
    <mergeCell ref="A52:A55"/>
    <mergeCell ref="A10:B10"/>
    <mergeCell ref="A28:A29"/>
    <mergeCell ref="B28:C28"/>
    <mergeCell ref="A43:A45"/>
    <mergeCell ref="A46:A48"/>
    <mergeCell ref="A49:A5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1035"/>
  <sheetViews>
    <sheetView workbookViewId="0">
      <pane xSplit="5" ySplit="14" topLeftCell="AM226" activePane="bottomRight" state="frozen"/>
      <selection pane="topRight" activeCell="F1" sqref="F1"/>
      <selection pane="bottomLeft" activeCell="A15" sqref="A15"/>
      <selection pane="bottomRight" activeCell="AS109" sqref="AS109"/>
    </sheetView>
  </sheetViews>
  <sheetFormatPr defaultColWidth="9.140625" defaultRowHeight="18.600000000000001" customHeight="1" x14ac:dyDescent="0.25"/>
  <cols>
    <col min="1" max="1" width="29" customWidth="1"/>
    <col min="2" max="2" width="14" customWidth="1"/>
    <col min="3" max="3" width="15.85546875" customWidth="1"/>
    <col min="4" max="4" width="22.85546875" customWidth="1"/>
    <col min="5" max="5" width="28.140625" customWidth="1"/>
    <col min="6" max="6" width="18.85546875" customWidth="1"/>
    <col min="7" max="7" width="23.5703125" style="14" customWidth="1"/>
    <col min="8" max="8" width="34.85546875" customWidth="1"/>
    <col min="9" max="9" width="32.28515625" customWidth="1"/>
    <col min="10" max="10" width="9.5703125" customWidth="1"/>
    <col min="11" max="14" width="10.140625" customWidth="1"/>
    <col min="15" max="15" width="9.7109375" customWidth="1"/>
    <col min="16" max="16" width="11.7109375" customWidth="1"/>
    <col min="17" max="17" width="12" customWidth="1"/>
    <col min="18" max="18" width="9.7109375" customWidth="1"/>
    <col min="19" max="19" width="12.85546875" customWidth="1"/>
    <col min="20" max="21" width="9.7109375" customWidth="1"/>
    <col min="22" max="22" width="11.42578125" customWidth="1"/>
    <col min="23" max="23" width="14.85546875" customWidth="1"/>
    <col min="24" max="24" width="13.28515625" customWidth="1"/>
    <col min="25" max="26" width="11.42578125" customWidth="1"/>
    <col min="27" max="28" width="16.42578125" customWidth="1"/>
    <col min="29" max="30" width="9.28515625" customWidth="1"/>
    <col min="31" max="31" width="10.7109375" customWidth="1"/>
    <col min="32" max="32" width="9.85546875" customWidth="1"/>
    <col min="33" max="33" width="11" customWidth="1"/>
    <col min="34" max="34" width="10" customWidth="1"/>
    <col min="35" max="36" width="10.28515625" customWidth="1"/>
    <col min="37" max="37" width="11.5703125" customWidth="1"/>
    <col min="38" max="38" width="11.140625" customWidth="1"/>
    <col min="39" max="39" width="14.85546875" customWidth="1"/>
    <col min="40" max="40" width="12.140625" customWidth="1"/>
    <col min="41" max="41" width="11.28515625" customWidth="1"/>
    <col min="42" max="44" width="10.7109375" customWidth="1"/>
    <col min="45" max="46" width="11.140625" customWidth="1"/>
    <col min="47" max="48" width="12.42578125" customWidth="1"/>
    <col min="49" max="49" width="10.5703125" style="30" customWidth="1"/>
    <col min="50" max="50" width="12" customWidth="1"/>
    <col min="51" max="54" width="12.42578125" customWidth="1"/>
    <col min="55" max="55" width="9.140625" customWidth="1"/>
    <col min="56" max="56" width="11.42578125" customWidth="1"/>
    <col min="57" max="58" width="13.140625" customWidth="1"/>
    <col min="59" max="59" width="13.42578125" customWidth="1"/>
    <col min="60" max="61" width="9.140625" customWidth="1"/>
    <col min="65" max="67" width="9.140625" customWidth="1"/>
  </cols>
  <sheetData>
    <row r="1" spans="1:59" ht="18.600000000000001" customHeight="1" x14ac:dyDescent="0.3">
      <c r="A1" s="4" t="s">
        <v>209</v>
      </c>
      <c r="AW1"/>
    </row>
    <row r="2" spans="1:59" ht="18.600000000000001" customHeight="1" x14ac:dyDescent="0.25">
      <c r="A2" t="s">
        <v>210</v>
      </c>
      <c r="S2" s="17"/>
      <c r="V2" t="s">
        <v>211</v>
      </c>
      <c r="AW2"/>
    </row>
    <row r="3" spans="1:59" ht="18.600000000000001" customHeight="1" x14ac:dyDescent="0.25">
      <c r="A3" t="s">
        <v>41</v>
      </c>
      <c r="T3" s="3"/>
      <c r="U3" s="8"/>
      <c r="V3" s="8" t="s">
        <v>212</v>
      </c>
      <c r="W3" s="17">
        <f>SUM(W14:W30,W38:W41,W55:W100,W106:W160,W166,W175:W192,W200,W206)</f>
        <v>278.73892463039999</v>
      </c>
      <c r="AW3"/>
    </row>
    <row r="4" spans="1:59" ht="18.600000000000001" customHeight="1" x14ac:dyDescent="0.25">
      <c r="A4" t="s">
        <v>213</v>
      </c>
      <c r="T4" s="3"/>
      <c r="U4" s="8"/>
      <c r="V4" s="17" t="s">
        <v>214</v>
      </c>
      <c r="W4" s="17">
        <f>SUM(W35,W46,W52,W103)</f>
        <v>11.233731974400005</v>
      </c>
      <c r="X4" s="17"/>
      <c r="Y4" s="17"/>
      <c r="Z4" s="17"/>
      <c r="AA4" s="17"/>
      <c r="AB4" s="17"/>
      <c r="AW4"/>
    </row>
    <row r="5" spans="1:59" ht="18.600000000000001" customHeight="1" x14ac:dyDescent="0.25">
      <c r="A5" s="10" t="s">
        <v>215</v>
      </c>
      <c r="K5" s="3"/>
      <c r="L5" s="3"/>
      <c r="Q5" s="12"/>
      <c r="T5" s="20"/>
      <c r="U5" s="1"/>
      <c r="V5" s="1"/>
      <c r="W5" s="1"/>
      <c r="X5" s="17"/>
      <c r="Y5" s="17"/>
      <c r="Z5" s="17"/>
      <c r="AA5" s="17"/>
      <c r="AB5" s="17"/>
      <c r="AW5"/>
    </row>
    <row r="6" spans="1:59" ht="18.600000000000001" customHeight="1" x14ac:dyDescent="0.25">
      <c r="B6" s="10"/>
      <c r="C6" s="10"/>
      <c r="D6" s="10"/>
      <c r="K6" s="3"/>
      <c r="L6" s="3"/>
      <c r="M6" s="12"/>
      <c r="X6" s="72"/>
      <c r="Y6" s="72"/>
      <c r="Z6" s="72"/>
      <c r="AA6" s="72"/>
      <c r="AB6" s="72"/>
      <c r="AW6"/>
    </row>
    <row r="7" spans="1:59" ht="18.600000000000001" customHeight="1" x14ac:dyDescent="0.25">
      <c r="AW7"/>
    </row>
    <row r="8" spans="1:59" ht="18.600000000000001" customHeight="1" x14ac:dyDescent="0.25">
      <c r="A8" s="506"/>
      <c r="B8" s="506"/>
      <c r="C8" s="506"/>
      <c r="D8" s="506"/>
      <c r="E8" s="506"/>
      <c r="F8" s="506"/>
      <c r="G8" s="1030"/>
      <c r="H8" s="506"/>
      <c r="I8" s="506"/>
      <c r="J8" s="506"/>
      <c r="K8" s="1141" t="s">
        <v>216</v>
      </c>
      <c r="L8" s="1031"/>
      <c r="M8" s="1143" t="s">
        <v>217</v>
      </c>
      <c r="N8" s="1143"/>
      <c r="O8" s="1144" t="s">
        <v>218</v>
      </c>
      <c r="P8" s="1144"/>
      <c r="Q8" s="1145" t="s">
        <v>219</v>
      </c>
      <c r="R8" s="1145"/>
      <c r="S8" s="1145"/>
      <c r="T8" s="1145"/>
      <c r="U8" s="1145"/>
      <c r="V8" s="1145"/>
      <c r="W8" s="1145"/>
      <c r="X8" s="1146" t="s">
        <v>220</v>
      </c>
      <c r="Y8" s="1146"/>
      <c r="Z8" s="1146"/>
      <c r="AA8" s="1146"/>
      <c r="AB8" s="1146"/>
      <c r="AC8" s="1151" t="s">
        <v>56</v>
      </c>
      <c r="AD8" s="1151"/>
      <c r="AE8" s="1151"/>
      <c r="AF8" s="1151"/>
      <c r="AG8" s="1151"/>
      <c r="AH8" s="1151"/>
      <c r="AI8" s="1151"/>
      <c r="AJ8" s="1151"/>
      <c r="AK8" s="1151"/>
      <c r="AL8" s="1151"/>
      <c r="AM8" s="1151"/>
      <c r="AN8" s="1151"/>
      <c r="AO8" s="1154" t="s">
        <v>54</v>
      </c>
      <c r="AP8" s="1154"/>
      <c r="AQ8" s="1154"/>
      <c r="AR8" s="1154"/>
      <c r="AS8" s="1154"/>
      <c r="AT8" s="1154"/>
      <c r="AU8" s="1154"/>
      <c r="AV8" s="1152" t="s">
        <v>221</v>
      </c>
      <c r="AW8" s="1152"/>
      <c r="AX8" s="1152"/>
      <c r="AY8" s="1152"/>
      <c r="AZ8" s="1152"/>
      <c r="BA8" s="1152"/>
      <c r="BB8" s="1152"/>
      <c r="BC8" s="1153" t="s">
        <v>222</v>
      </c>
      <c r="BD8" s="1153"/>
      <c r="BE8" s="1153"/>
      <c r="BF8" s="722"/>
      <c r="BG8" s="722"/>
    </row>
    <row r="9" spans="1:59" ht="31.5" customHeight="1" x14ac:dyDescent="0.25">
      <c r="A9" s="1136" t="s">
        <v>223</v>
      </c>
      <c r="B9" s="1138" t="s">
        <v>224</v>
      </c>
      <c r="C9" s="1138"/>
      <c r="D9" s="506"/>
      <c r="E9" s="506"/>
      <c r="F9" s="506"/>
      <c r="G9" s="1030"/>
      <c r="H9" s="506"/>
      <c r="I9" s="506"/>
      <c r="J9" s="506"/>
      <c r="K9" s="1141"/>
      <c r="L9" s="1031"/>
      <c r="M9" s="1033"/>
      <c r="N9" s="1033"/>
      <c r="O9" s="1034"/>
      <c r="P9" s="1034"/>
      <c r="Q9" s="1139" t="s">
        <v>225</v>
      </c>
      <c r="R9" s="1139" t="s">
        <v>226</v>
      </c>
      <c r="S9" s="1139" t="s">
        <v>227</v>
      </c>
      <c r="T9" s="1147" t="s">
        <v>228</v>
      </c>
      <c r="U9" s="1147" t="s">
        <v>229</v>
      </c>
      <c r="V9" s="1147" t="s">
        <v>230</v>
      </c>
      <c r="W9" s="1149" t="s">
        <v>231</v>
      </c>
      <c r="X9" s="1133" t="s">
        <v>232</v>
      </c>
      <c r="Y9" s="1133" t="s">
        <v>233</v>
      </c>
      <c r="Z9" s="1133" t="s">
        <v>234</v>
      </c>
      <c r="AA9" s="1133" t="s">
        <v>235</v>
      </c>
      <c r="AB9" s="1027"/>
      <c r="AC9" s="1135" t="s">
        <v>236</v>
      </c>
      <c r="AD9" s="1135"/>
      <c r="AE9" s="1135" t="s">
        <v>237</v>
      </c>
      <c r="AF9" s="1135"/>
      <c r="AG9" s="1135" t="s">
        <v>238</v>
      </c>
      <c r="AH9" s="1135"/>
      <c r="AI9" s="1135" t="s">
        <v>239</v>
      </c>
      <c r="AJ9" s="1135"/>
      <c r="AK9" s="307"/>
      <c r="AL9" s="1130" t="s">
        <v>240</v>
      </c>
      <c r="AM9" s="308"/>
      <c r="AN9" s="308"/>
      <c r="AO9" s="1132" t="s">
        <v>238</v>
      </c>
      <c r="AP9" s="1132"/>
      <c r="AQ9" s="1132" t="s">
        <v>239</v>
      </c>
      <c r="AR9" s="1132"/>
      <c r="AS9" s="309"/>
      <c r="AT9" s="309"/>
      <c r="AU9" s="310"/>
      <c r="AV9" s="1155" t="s">
        <v>238</v>
      </c>
      <c r="AW9" s="1155"/>
      <c r="AX9" s="1155" t="s">
        <v>239</v>
      </c>
      <c r="AY9" s="1155"/>
      <c r="AZ9" s="311"/>
      <c r="BA9" s="311"/>
      <c r="BB9" s="312"/>
      <c r="BC9" s="1037"/>
      <c r="BD9" s="1037"/>
      <c r="BE9" s="1037"/>
      <c r="BF9" s="722"/>
      <c r="BG9" s="722"/>
    </row>
    <row r="10" spans="1:59" ht="70.150000000000006" customHeight="1" x14ac:dyDescent="0.25">
      <c r="A10" s="1137"/>
      <c r="B10" s="1029" t="s">
        <v>241</v>
      </c>
      <c r="C10" s="1029" t="s">
        <v>242</v>
      </c>
      <c r="D10" s="1029" t="s">
        <v>243</v>
      </c>
      <c r="E10" s="1029" t="s">
        <v>25</v>
      </c>
      <c r="F10" s="1029" t="s">
        <v>244</v>
      </c>
      <c r="G10" s="1029" t="s">
        <v>245</v>
      </c>
      <c r="H10" s="1029" t="s">
        <v>246</v>
      </c>
      <c r="I10" s="1029" t="s">
        <v>247</v>
      </c>
      <c r="J10" s="23" t="s">
        <v>248</v>
      </c>
      <c r="K10" s="1142"/>
      <c r="L10" s="1032"/>
      <c r="M10" s="6" t="s">
        <v>249</v>
      </c>
      <c r="N10" s="6" t="s">
        <v>250</v>
      </c>
      <c r="O10" s="15" t="s">
        <v>249</v>
      </c>
      <c r="P10" s="15" t="s">
        <v>250</v>
      </c>
      <c r="Q10" s="1140"/>
      <c r="R10" s="1140"/>
      <c r="S10" s="1140"/>
      <c r="T10" s="1148"/>
      <c r="U10" s="1148"/>
      <c r="V10" s="1148"/>
      <c r="W10" s="1150"/>
      <c r="X10" s="1134"/>
      <c r="Y10" s="1134"/>
      <c r="Z10" s="1134"/>
      <c r="AA10" s="1134"/>
      <c r="AB10" s="1028" t="s">
        <v>251</v>
      </c>
      <c r="AC10" s="723" t="s">
        <v>252</v>
      </c>
      <c r="AD10" s="723" t="s">
        <v>253</v>
      </c>
      <c r="AE10" s="723" t="s">
        <v>252</v>
      </c>
      <c r="AF10" s="723" t="s">
        <v>253</v>
      </c>
      <c r="AG10" s="723" t="s">
        <v>252</v>
      </c>
      <c r="AH10" s="723" t="s">
        <v>253</v>
      </c>
      <c r="AI10" s="723" t="s">
        <v>252</v>
      </c>
      <c r="AJ10" s="723" t="s">
        <v>253</v>
      </c>
      <c r="AK10" s="1026" t="s">
        <v>254</v>
      </c>
      <c r="AL10" s="1131"/>
      <c r="AM10" s="1026" t="s">
        <v>255</v>
      </c>
      <c r="AN10" s="1026" t="s">
        <v>256</v>
      </c>
      <c r="AO10" s="724" t="s">
        <v>252</v>
      </c>
      <c r="AP10" s="724" t="s">
        <v>257</v>
      </c>
      <c r="AQ10" s="724" t="s">
        <v>252</v>
      </c>
      <c r="AR10" s="724" t="s">
        <v>257</v>
      </c>
      <c r="AS10" s="725" t="s">
        <v>254</v>
      </c>
      <c r="AT10" s="725" t="s">
        <v>240</v>
      </c>
      <c r="AU10" s="725" t="s">
        <v>258</v>
      </c>
      <c r="AV10" s="726" t="s">
        <v>252</v>
      </c>
      <c r="AW10" s="726" t="s">
        <v>259</v>
      </c>
      <c r="AX10" s="726" t="s">
        <v>252</v>
      </c>
      <c r="AY10" s="726" t="s">
        <v>259</v>
      </c>
      <c r="AZ10" s="727" t="s">
        <v>254</v>
      </c>
      <c r="BA10" s="727" t="s">
        <v>240</v>
      </c>
      <c r="BB10" s="727" t="s">
        <v>260</v>
      </c>
      <c r="BC10" s="35" t="s">
        <v>261</v>
      </c>
      <c r="BD10" s="35" t="s">
        <v>257</v>
      </c>
      <c r="BE10" s="35" t="s">
        <v>262</v>
      </c>
      <c r="BF10" s="18" t="s">
        <v>263</v>
      </c>
      <c r="BG10" s="19" t="s">
        <v>264</v>
      </c>
    </row>
    <row r="11" spans="1:59" ht="18.600000000000001" customHeight="1" x14ac:dyDescent="0.25">
      <c r="K11" s="2"/>
      <c r="L11" s="2"/>
      <c r="M11" s="2"/>
      <c r="N11" s="2"/>
      <c r="O11" s="2"/>
      <c r="P11" s="2"/>
      <c r="AK11" s="399"/>
      <c r="AO11" s="399"/>
      <c r="AS11" s="399"/>
      <c r="AV11" s="399"/>
      <c r="AW11"/>
      <c r="AY11" s="143"/>
      <c r="AZ11" s="399"/>
      <c r="BB11" s="143"/>
      <c r="BE11" s="143"/>
    </row>
    <row r="12" spans="1:59" ht="18.600000000000001" customHeight="1" x14ac:dyDescent="0.25">
      <c r="A12" s="22" t="s">
        <v>265</v>
      </c>
      <c r="K12" s="2"/>
      <c r="L12" s="2"/>
      <c r="M12" s="2"/>
      <c r="N12" s="2"/>
      <c r="O12" s="2"/>
      <c r="P12" s="2"/>
      <c r="Q12">
        <v>0.45</v>
      </c>
      <c r="R12" t="s">
        <v>266</v>
      </c>
      <c r="T12" s="21"/>
      <c r="U12" s="21"/>
      <c r="V12" s="21"/>
      <c r="X12" s="21"/>
      <c r="Y12" s="21"/>
      <c r="Z12" s="21"/>
      <c r="AA12" s="21"/>
      <c r="AB12" s="21"/>
      <c r="AC12" s="21"/>
      <c r="AD12" s="21"/>
      <c r="AE12" s="21"/>
      <c r="AF12" s="21"/>
      <c r="AG12" s="21"/>
      <c r="AH12" s="21"/>
      <c r="AI12" s="21"/>
      <c r="AJ12" s="21"/>
      <c r="AK12" s="323"/>
      <c r="AL12" s="21"/>
      <c r="AM12" s="21"/>
      <c r="AN12" s="21"/>
      <c r="AO12" s="323"/>
      <c r="AP12" s="21"/>
      <c r="AQ12" s="21"/>
      <c r="AR12" s="21"/>
      <c r="AS12" s="323"/>
      <c r="AT12" s="21"/>
      <c r="AU12" s="142"/>
      <c r="AV12" s="323"/>
      <c r="AW12" s="148"/>
      <c r="AX12" s="148"/>
      <c r="AY12" s="330"/>
      <c r="AZ12" s="323"/>
      <c r="BA12" s="21"/>
      <c r="BB12" s="143"/>
      <c r="BC12" s="148">
        <f>SUM(BC14:BC33,BC39:BC44,BC56:BC101, BC107:BC207)</f>
        <v>105.59977738473276</v>
      </c>
      <c r="BD12" s="148">
        <f>SUM(BD14:BD33,BD39:BD44,BD56:BD101, BD107:BD207)</f>
        <v>396.94035338552021</v>
      </c>
      <c r="BE12" s="148">
        <f>SUM(BE14:BE33,BE39:BE44,BE56:BE101, BE107:BE207)</f>
        <v>49698.67697131059</v>
      </c>
      <c r="BF12" s="399" t="s">
        <v>267</v>
      </c>
    </row>
    <row r="13" spans="1:59" ht="18.600000000000001" customHeight="1" x14ac:dyDescent="0.25">
      <c r="K13" s="2"/>
      <c r="L13" s="2"/>
      <c r="M13" s="2"/>
      <c r="N13" s="2"/>
      <c r="O13" s="2"/>
      <c r="P13" s="2"/>
      <c r="R13" t="s">
        <v>268</v>
      </c>
      <c r="Y13" s="14"/>
      <c r="Z13" s="14"/>
      <c r="AA13" s="37"/>
      <c r="AB13" s="37"/>
      <c r="AC13" s="11"/>
      <c r="AD13" s="11"/>
      <c r="AK13" s="399"/>
      <c r="AO13" s="599"/>
      <c r="AP13" s="594"/>
      <c r="AQ13" s="594"/>
      <c r="AR13" s="594"/>
      <c r="AS13" s="399"/>
      <c r="AV13" s="399"/>
      <c r="AW13" s="14"/>
      <c r="AX13" s="14"/>
      <c r="AY13" s="145"/>
      <c r="AZ13" s="399"/>
      <c r="BB13" s="143"/>
      <c r="BC13" s="148">
        <f>SUM(BC36,BC47,BC53,BC104,BC212:BC260)</f>
        <v>17.261241744037893</v>
      </c>
      <c r="BD13" s="148">
        <f>SUM(BD36,BD47,BD53,BD104,BD212:BD256)</f>
        <v>74.945598848655791</v>
      </c>
      <c r="BE13" s="148">
        <f>SUM(BE36,BE47,BE53,BE104,BE212:BE256)</f>
        <v>6003.6091905019866</v>
      </c>
      <c r="BF13" s="399" t="s">
        <v>269</v>
      </c>
    </row>
    <row r="14" spans="1:59" ht="18.600000000000001" customHeight="1" x14ac:dyDescent="0.25">
      <c r="A14" s="261"/>
      <c r="B14" s="11"/>
      <c r="C14" s="11"/>
      <c r="D14" s="201"/>
      <c r="E14" s="1048"/>
      <c r="F14" s="259"/>
      <c r="G14" s="259"/>
      <c r="H14" s="1021"/>
      <c r="I14" s="1021"/>
      <c r="J14" s="1048"/>
      <c r="K14" s="11"/>
      <c r="L14" s="11"/>
      <c r="M14" s="11"/>
      <c r="N14" s="9"/>
      <c r="O14" s="27"/>
      <c r="P14" s="27"/>
      <c r="Q14" s="8"/>
      <c r="R14" s="8"/>
      <c r="S14" s="8"/>
      <c r="T14" s="8"/>
      <c r="U14" s="8"/>
      <c r="V14" s="8"/>
      <c r="W14" s="8"/>
      <c r="X14" s="34"/>
      <c r="Y14" s="257"/>
      <c r="Z14" s="257"/>
      <c r="AA14" s="258"/>
      <c r="AB14" s="258"/>
      <c r="AC14" s="305"/>
      <c r="AD14" s="305"/>
      <c r="AE14" s="134"/>
      <c r="AF14" s="133"/>
      <c r="AG14" s="135"/>
      <c r="AH14" s="34"/>
      <c r="AI14" s="132"/>
      <c r="AJ14" s="133"/>
      <c r="AK14" s="516"/>
      <c r="AL14" s="34"/>
      <c r="AM14" s="313"/>
      <c r="AN14" s="288"/>
      <c r="AO14" s="147"/>
      <c r="AP14" s="34"/>
      <c r="AQ14" s="134"/>
      <c r="AR14" s="133"/>
      <c r="AS14" s="400"/>
      <c r="AT14" s="313"/>
      <c r="AU14" s="313"/>
      <c r="AV14" s="147"/>
      <c r="AW14" s="34"/>
      <c r="AX14" s="134"/>
      <c r="AY14" s="137"/>
      <c r="AZ14" s="400"/>
      <c r="BA14" s="313"/>
      <c r="BB14" s="401"/>
      <c r="BC14" s="318"/>
      <c r="BD14" s="318"/>
      <c r="BE14" s="332"/>
      <c r="BF14" s="14"/>
    </row>
    <row r="15" spans="1:59" ht="18.600000000000001" customHeight="1" x14ac:dyDescent="0.25">
      <c r="A15" s="261" t="s">
        <v>270</v>
      </c>
      <c r="B15" s="261"/>
      <c r="C15" s="261"/>
      <c r="D15" s="1111" t="s">
        <v>271</v>
      </c>
      <c r="E15" s="1065"/>
      <c r="F15" s="1019"/>
      <c r="G15" s="1019"/>
      <c r="H15" s="204"/>
      <c r="I15" s="204"/>
      <c r="J15" s="1019"/>
      <c r="K15" s="11">
        <v>13.12</v>
      </c>
      <c r="L15" s="11"/>
      <c r="M15" s="11">
        <v>0</v>
      </c>
      <c r="N15" s="9">
        <v>5.71</v>
      </c>
      <c r="O15" s="7">
        <f>+M15/K15</f>
        <v>0</v>
      </c>
      <c r="P15" s="7">
        <f>+N15/K15</f>
        <v>0.43521341463414637</v>
      </c>
      <c r="Q15" s="8">
        <f>43*0.9*(0.05+0.9*0.16)*0.26*$K15*2.72/12</f>
        <v>5.8050710016000009</v>
      </c>
      <c r="R15" s="39">
        <f>43*0.9*(0.05+0.9*O15)*0.26*$K15*2.72/12</f>
        <v>1.4961523200000004</v>
      </c>
      <c r="S15" s="8">
        <f>IF(J15="R",R15,Q15)</f>
        <v>5.8050710016000009</v>
      </c>
      <c r="T15" s="8">
        <f>43*0.9*(0.05+0.9*P15)*0.26*$K15*2.72/12</f>
        <v>13.216772400000002</v>
      </c>
      <c r="U15" s="8">
        <f>T15*5.2</f>
        <v>68.72721648000001</v>
      </c>
      <c r="V15" s="8">
        <f>T15*420.9</f>
        <v>5562.9395031600006</v>
      </c>
      <c r="W15" s="8">
        <f>IF(P15 &lt; 16%, 0, IF(K15 &lt; 1, 0, T15-S15))</f>
        <v>7.4117013984000009</v>
      </c>
      <c r="X15" s="8"/>
      <c r="Y15" s="257"/>
      <c r="Z15" s="257"/>
      <c r="AA15" s="8"/>
      <c r="AB15" s="8"/>
      <c r="AC15" s="39"/>
      <c r="AD15" s="39"/>
      <c r="AE15" s="34"/>
      <c r="AF15" s="34"/>
      <c r="AG15" s="8"/>
      <c r="AH15" s="133"/>
      <c r="AI15" s="8"/>
      <c r="AJ15" s="133"/>
      <c r="AK15" s="327"/>
      <c r="AO15" s="589"/>
      <c r="AP15" s="39"/>
      <c r="AQ15" s="39"/>
      <c r="AR15" s="39"/>
      <c r="AS15" s="306"/>
      <c r="AU15" s="28"/>
      <c r="AV15" s="589"/>
      <c r="AW15" s="39"/>
      <c r="AX15" s="39"/>
      <c r="AY15" s="136"/>
      <c r="AZ15" s="146"/>
      <c r="BA15" s="8"/>
      <c r="BB15" s="143"/>
      <c r="BE15" s="143"/>
      <c r="BF15" s="14" t="s">
        <v>272</v>
      </c>
      <c r="BG15" t="s">
        <v>273</v>
      </c>
    </row>
    <row r="16" spans="1:59" ht="18.600000000000001" customHeight="1" x14ac:dyDescent="0.25">
      <c r="A16" s="261"/>
      <c r="B16" s="11">
        <v>-78.470958999999993</v>
      </c>
      <c r="C16" s="11">
        <v>38.080463000000002</v>
      </c>
      <c r="D16" s="13">
        <v>367.01</v>
      </c>
      <c r="E16" s="1048" t="s">
        <v>274</v>
      </c>
      <c r="F16" s="1048" t="s">
        <v>275</v>
      </c>
      <c r="G16" s="1048"/>
      <c r="H16" s="1021" t="s">
        <v>276</v>
      </c>
      <c r="I16" s="1021" t="s">
        <v>277</v>
      </c>
      <c r="J16" s="1048"/>
      <c r="K16" s="11">
        <v>19.53</v>
      </c>
      <c r="L16" s="11"/>
      <c r="M16" s="11">
        <v>4.74</v>
      </c>
      <c r="N16" s="11">
        <v>6.03</v>
      </c>
      <c r="O16" s="7">
        <f>+M16/K16</f>
        <v>0.24270353302611367</v>
      </c>
      <c r="P16" s="7">
        <f>+N16/K16</f>
        <v>0.30875576036866359</v>
      </c>
      <c r="Q16" s="8"/>
      <c r="R16" s="8"/>
      <c r="S16" s="8"/>
      <c r="T16" s="8">
        <f>IF(J15="TT",IF(F15="u/g detention",(43*0.9*(0.05+0.9*P16)*0.26*$K16*2.72/12)-#REF!,(43*0.9*(0.05+0.9*P16)*0.26*$K16*2.72/12)-AK15),43*0.9*(0.05+0.9*P16)*0.26*$K16*2.72/12)</f>
        <v>14.604590520000004</v>
      </c>
      <c r="U16" s="8">
        <f>T16*5.2</f>
        <v>75.94387070400002</v>
      </c>
      <c r="V16" s="8">
        <f>T16*420.9</f>
        <v>6147.0721498680014</v>
      </c>
      <c r="W16" s="8"/>
      <c r="X16" s="34" t="s">
        <v>278</v>
      </c>
      <c r="Y16" s="319">
        <v>90851</v>
      </c>
      <c r="Z16" s="257">
        <v>6.03</v>
      </c>
      <c r="AA16" s="258">
        <f>IF(Y16="NA", 0, (Y16/43560)*12/Z16)</f>
        <v>4.1505511926136078</v>
      </c>
      <c r="AB16" s="742" t="s">
        <v>279</v>
      </c>
      <c r="AC16" s="134" t="str">
        <f>IF(G16="filterra",0.5, IF(G16="stormfilter",0.45,IF(B16=0,"","NA")))</f>
        <v>NA</v>
      </c>
      <c r="AD16" s="741">
        <f t="shared" ref="AD16:AD47" si="0">IF(AC16="NA",0,IF(AC16="","",T16*AC16))</f>
        <v>0</v>
      </c>
      <c r="AE16" s="135">
        <f>IF(ISNA(VLOOKUP(H16,'Efficiency Lookup'!$B$2:$C$38,2,FALSE)),0,(VLOOKUP(H16,'Efficiency Lookup'!$B$2:$C$38,2,FALSE)))</f>
        <v>0.65</v>
      </c>
      <c r="AF16" s="34">
        <f>T16*AE16</f>
        <v>9.4929838380000025</v>
      </c>
      <c r="AG16" s="134">
        <f>IF(ISNA(VLOOKUP(I16,'Efficiency Lookup'!$D$2:$E$35,2,FALSE)),0,VLOOKUP(I16,'Efficiency Lookup'!$D$2:$E$35,2,FALSE))</f>
        <v>0.45</v>
      </c>
      <c r="AH16" s="133">
        <f>T16*AG16</f>
        <v>6.5720657340000015</v>
      </c>
      <c r="AI16" s="132">
        <f>IF(X16="RR",IF((0.0304*(AA16^5)-0.2619*(AA16^4)+0.9161*(AA16^3)-1.6837*(AA16^2)+1.7072*AA16-0.0091)&gt;0.85,0.85,IF((0.0304*(AA16^5)-0.2619*(AA16^4)+0.9161*(AA16^3)-1.6837*(AA16^2)+1.7072*AA16-0.0091)&lt;0,0,(0.0304*(AA16^5)-0.2619*(AA16^4)+0.9161*(AA16^3)-1.6837*(AA16^2)+1.7072*AA16-0.0091))),IF((0.0239*(AA16^5)-0.2058*(AA16^4)+0.7198*(AA16^3)-1.3229*(AA16^2)+1.3414*AA16-0.0072)&gt;0.65,0.65,IF((0.0239*(AA16^5)-0.2058*(AA16^4)+0.7198*(AA16^3)-1.3229*(AA16^2)+1.3414*AA16-0.0072)&lt;0,0,(0.0239*(AA16^5)-0.2058*(AA16^4)+0.7198*(AA16^3)-1.3229*(AA16^2)+1.3414*AA16-0.0072))))</f>
        <v>0.65</v>
      </c>
      <c r="AJ16" s="133">
        <f>T16*AI16</f>
        <v>9.4929838380000025</v>
      </c>
      <c r="AK16" s="516">
        <f>IF(AC16="","",MAX(AD16,AF16,AH16,AJ16))</f>
        <v>9.4929838380000025</v>
      </c>
      <c r="AL16" s="1100">
        <f>SUM(AK16:AK19)</f>
        <v>11.329957831920002</v>
      </c>
      <c r="AM16" s="1100">
        <f>AL16-W15</f>
        <v>3.9182564335200007</v>
      </c>
      <c r="AN16" s="1112">
        <f>AM16/AL16</f>
        <v>0.34583151072999219</v>
      </c>
      <c r="AO16" s="138">
        <f>IF(ISNA(VLOOKUP(I16,'Efficiency Lookup'!$D$2:$G$35,3,FALSE)),0,VLOOKUP(I16,'Efficiency Lookup'!$D$2:$G$35,3,FALSE))</f>
        <v>0.2</v>
      </c>
      <c r="AP16" s="133">
        <f>U16*AO16</f>
        <v>15.188774140800005</v>
      </c>
      <c r="AQ16" s="135">
        <f>IF(X16="RR",IF((0.0308*(AA16^5)-0.2562*(AA16^4)+0.8634*(AA16^3)-1.5285*(AA16^2)+1.501*AA16-0.013)&gt;0.7,0.7,IF((0.0308*(AA16^5)-0.2562*(AA16^4)+0.8634*(AA16^3)-1.5285*(AA16^2)+1.501*AA16-0.013)&lt;0,0,(0.0308*(AA16^5)-0.2562*(AA16^4)+0.8634*(AA16^3)-1.5285*(AA16^2)+1.501*AA16-0.013))),IF((0.0152*(AA16^5)-0.131*(AA16^4)+0.4581*(AA16^3)-0.8418*(AA16^2)+0.8536*AA16-0.0046)&gt;0.65,0.65,IF((0.0152*(AA16^5)-0.131*(AA16^4)+0.4581*(AA16^3)-0.8418*(AA16^2)+0.8536*AA16-0.0046)&lt;0,0,(0.0152*(AA16^5)-0.131*(AA16^4)+0.4581*(AA16^3)-0.8418*(AA16^2)+0.8536*AA16-0.0046))))</f>
        <v>0.65</v>
      </c>
      <c r="AR16" s="34">
        <f>U16*AQ16</f>
        <v>49.363515957600015</v>
      </c>
      <c r="AS16" s="400">
        <f>IF(OR(AD16=AK16,AF16=AK16),MAX(AP16,AR16),IF(AK16=AH16,AP16,AR16))</f>
        <v>49.363515957600015</v>
      </c>
      <c r="AT16" s="1100">
        <f>SUM(AS16:AS19)</f>
        <v>52.543855314980711</v>
      </c>
      <c r="AU16" s="1104">
        <f>AT16*AN16</f>
        <v>18.171320863157909</v>
      </c>
      <c r="AV16" s="138">
        <f>IF(ISNA(VLOOKUP(I16,'Efficiency Lookup'!$D$2:$G$35,4,FALSE)),0,VLOOKUP(I16,'Efficiency Lookup'!$D$2:$G$35,4,FALSE))</f>
        <v>0.6</v>
      </c>
      <c r="AW16" s="133">
        <f>$V16*AV16</f>
        <v>3688.2432899208006</v>
      </c>
      <c r="AX16" s="135">
        <f>IF(X16="RR",IF((0.0326*(AA16^5)-0.2806*(AA16^4)+0.9816*(AA16^3)-1.8039*(AA16^2)+1.8292*AA16-0.0098)&gt;0.85,0.85,IF((0.0326*(AA16^5)-0.2806*(AA16^4)+0.9816*(AA16^3)-1.8039*(AA16^2)+1.8292*AA16-0.0098)&lt;0,0,(0.0326*(AA16^5)-0.2806*(AA16^4)+0.9816*(AA16^3)-1.8039*(AA16^2)+1.8292*AA16-0.0098))),IF((0.0304*(AA16^5)-0.2619*(AA16^4)+0.9161*(AA16^3)-1.6837*(AA16^2)+1.7072*AA16-0.0091)&gt;0.8,0.8,IF((0.0304*(AA16^5)-0.2619*(AA16^4)+0.9161*(AA16^3)-1.6837*(AA16^2)+1.7072*AA16-0.0091)&lt;0,0,(0.0304*(AA16^5)-0.2619*(AA16^4)+0.9161*(AA16^3)-1.6837*(AA16^2)+1.7072*AA16-0.0091))))</f>
        <v>0.8</v>
      </c>
      <c r="AY16" s="144">
        <f>$V16*AX16</f>
        <v>4917.6577198944015</v>
      </c>
      <c r="AZ16" s="400">
        <f>IF(AS16=AP16,AW16,AY16)</f>
        <v>4917.6577198944015</v>
      </c>
      <c r="BA16" s="1100">
        <f>SUM(AZ16:AZ19)</f>
        <v>5272.5493653388548</v>
      </c>
      <c r="BB16" s="1104">
        <f>BA16*AN16</f>
        <v>1823.4137124135978</v>
      </c>
      <c r="BC16" s="1105">
        <f>AM16</f>
        <v>3.9182564335200007</v>
      </c>
      <c r="BD16" s="1106">
        <f>AU16</f>
        <v>18.171320863157909</v>
      </c>
      <c r="BE16" s="1107">
        <f>BB16</f>
        <v>1823.4137124135978</v>
      </c>
      <c r="BF16" s="14"/>
      <c r="BG16" t="s">
        <v>280</v>
      </c>
    </row>
    <row r="17" spans="1:59" ht="18.600000000000001" customHeight="1" x14ac:dyDescent="0.25">
      <c r="A17" s="261"/>
      <c r="B17" s="11">
        <v>-78.468202000000005</v>
      </c>
      <c r="C17" s="11">
        <v>38.083050999999998</v>
      </c>
      <c r="D17" s="13">
        <v>367.02</v>
      </c>
      <c r="E17" s="1048" t="s">
        <v>281</v>
      </c>
      <c r="F17" s="1015" t="s">
        <v>282</v>
      </c>
      <c r="G17" s="1015"/>
      <c r="H17" s="1021" t="s">
        <v>283</v>
      </c>
      <c r="I17" s="1021" t="s">
        <v>284</v>
      </c>
      <c r="J17" s="1048"/>
      <c r="K17" s="11">
        <v>0.53</v>
      </c>
      <c r="L17" s="11"/>
      <c r="M17" s="9">
        <v>0</v>
      </c>
      <c r="N17" s="9">
        <f>K17*0.58</f>
        <v>0.30740000000000001</v>
      </c>
      <c r="O17" s="7">
        <f>+M17/K17</f>
        <v>0</v>
      </c>
      <c r="P17" s="7">
        <f>+N17/K17</f>
        <v>0.57999999999999996</v>
      </c>
      <c r="Q17" s="8"/>
      <c r="R17" s="8"/>
      <c r="S17" s="8"/>
      <c r="T17" s="8">
        <f>IF(J16="TT",IF(F16="u/g detention",(43*0.9*(0.05+0.9*P17)*0.26*$K17*2.72/12)-AK15,(43*0.9*(0.05+0.9*P17)*0.26*$K17*2.72/12)-AK16),43*0.9*(0.05+0.9*P17)*0.26*$K17*2.72/12)</f>
        <v>0.69142307520000035</v>
      </c>
      <c r="U17" s="8">
        <f>T17*5.2</f>
        <v>3.5953999910400021</v>
      </c>
      <c r="V17" s="8">
        <f>T17*420.9</f>
        <v>291.01997235168011</v>
      </c>
      <c r="W17" s="8"/>
      <c r="X17" s="34" t="s">
        <v>285</v>
      </c>
      <c r="Y17" s="319">
        <v>5019</v>
      </c>
      <c r="Z17" s="257">
        <v>0.31</v>
      </c>
      <c r="AA17" s="258">
        <f>IF(Y17="NA", 0, (Y17/43560)*12/Z17)</f>
        <v>4.4601439616102372</v>
      </c>
      <c r="AB17" s="742" t="s">
        <v>286</v>
      </c>
      <c r="AC17" s="134" t="str">
        <f t="shared" ref="AC17:AC88" si="1">IF(G17="filterra",0.5, IF(G17="stormfilter",0.45,IF(B17=0,"","NA")))</f>
        <v>NA</v>
      </c>
      <c r="AD17" s="741">
        <f t="shared" si="0"/>
        <v>0</v>
      </c>
      <c r="AE17" s="134">
        <f>IF(ISNA(VLOOKUP(H17,'Efficiency Lookup'!$B$2:$C$38,2,FALSE)),0,(VLOOKUP(H17,'Efficiency Lookup'!$B$2:$C$38,2,FALSE)))</f>
        <v>0.65</v>
      </c>
      <c r="AF17" s="133">
        <f>T17*AE17</f>
        <v>0.44942499888000026</v>
      </c>
      <c r="AG17" s="134">
        <f>IF(ISNA(VLOOKUP(I17,'Efficiency Lookup'!$D$2:$E$35,2,FALSE)),0,VLOOKUP(I17,'Efficiency Lookup'!$D$2:$E$35,2,FALSE))</f>
        <v>0.45</v>
      </c>
      <c r="AH17" s="133">
        <f>T17*AG17</f>
        <v>0.31114038384000015</v>
      </c>
      <c r="AI17" s="140">
        <f>IF(X17="RR",IF((0.0304*(AA17^5)-0.2619*(AA17^4)+0.9161*(AA17^3)-1.6837*(AA17^2)+1.7072*AA17-0.0091)&gt;0.85,0.85,IF((0.0304*(AA17^5)-0.2619*(AA17^4)+0.9161*(AA17^3)-1.6837*(AA17^2)+1.7072*AA17-0.0091)&lt;0,0,(0.0304*(AA17^5)-0.2619*(AA17^4)+0.9161*(AA17^3)-1.6837*(AA17^2)+1.7072*AA17-0.0091))),IF((0.0239*(AA17^5)-0.2058*(AA17^4)+0.7198*(AA17^3)-1.3229*(AA17^2)+1.3414*AA17-0.0072)&gt;0.65,0.65,IF((0.0239*(AA17^5)-0.2058*(AA17^4)+0.7198*(AA17^3)-1.3229*(AA17^2)+1.3414*AA17-0.0072)&lt;0,0,(0.0239*(AA17^5)-0.2058*(AA17^4)+0.7198*(AA17^3)-1.3229*(AA17^2)+1.3414*AA17-0.0072))))</f>
        <v>0.85</v>
      </c>
      <c r="AJ17" s="34">
        <f>T17*AI17</f>
        <v>0.58770961392000032</v>
      </c>
      <c r="AK17" s="516">
        <f t="shared" ref="AK17:AK88" si="2">IF(AC17="","",MAX(AD17,AF17,AH17,AJ17))</f>
        <v>0.58770961392000032</v>
      </c>
      <c r="AL17" s="1100"/>
      <c r="AM17" s="1100"/>
      <c r="AN17" s="1112"/>
      <c r="AO17" s="138">
        <f>IF(ISNA(VLOOKUP(I17,'Efficiency Lookup'!$D$2:$G$35,3,FALSE)),0,VLOOKUP(I17,'Efficiency Lookup'!$D$2:$G$35,3,FALSE))</f>
        <v>0.25</v>
      </c>
      <c r="AP17" s="133">
        <f>U17*AO17</f>
        <v>0.89884999776000052</v>
      </c>
      <c r="AQ17" s="135">
        <f>IF(X17="RR",IF((0.0308*(AA17^5)-0.2562*(AA17^4)+0.8634*(AA17^3)-1.5285*(AA17^2)+1.501*AA17-0.013)&gt;0.7,0.7,IF((0.0308*(AA17^5)-0.2562*(AA17^4)+0.8634*(AA17^3)-1.5285*(AA17^2)+1.501*AA17-0.013)&lt;0,0,(0.0308*(AA17^5)-0.2562*(AA17^4)+0.8634*(AA17^3)-1.5285*(AA17^2)+1.501*AA17-0.013))),IF((0.0152*(AA17^5)-0.131*(AA17^4)+0.4581*(AA17^3)-0.8418*(AA17^2)+0.8536*AA17-0.0046)&gt;0.65,0.65,IF((0.0152*(AA17^5)-0.131*(AA17^4)+0.4581*(AA17^3)-0.8418*(AA17^2)+0.8536*AA17-0.0046)&lt;0,0,(0.0152*(AA17^5)-0.131*(AA17^4)+0.4581*(AA17^3)-0.8418*(AA17^2)+0.8536*AA17-0.0046))))</f>
        <v>0.7</v>
      </c>
      <c r="AR17" s="34">
        <f>U17*AQ17</f>
        <v>2.5167799937280013</v>
      </c>
      <c r="AS17" s="400">
        <f>IF(AK17=AF17,MAX(AP17,AR17),IF(AK17=AH17,AP17,AR17))</f>
        <v>2.5167799937280013</v>
      </c>
      <c r="AT17" s="1100"/>
      <c r="AU17" s="1104"/>
      <c r="AV17" s="138">
        <f>IF(ISNA(VLOOKUP(I17,'Efficiency Lookup'!$D$2:$G$35,4,FALSE)),0,VLOOKUP(I17,'Efficiency Lookup'!$D$2:$G$35,4,FALSE))</f>
        <v>0.55000000000000004</v>
      </c>
      <c r="AW17" s="133">
        <f>$V17*AV17</f>
        <v>160.06098479342407</v>
      </c>
      <c r="AX17" s="135">
        <f>IF(X17="RR",IF((0.0326*(AA17^5)-0.2806*(AA17^4)+0.9816*(AA17^3)-1.8039*(AA17^2)+1.8292*AA17-0.0098)&gt;0.85,0.85,IF((0.0326*(AA17^5)-0.2806*(AA17^4)+0.9816*(AA17^3)-1.8039*(AA17^2)+1.8292*AA17-0.0098)&lt;0,0,(0.0326*(AA17^5)-0.2806*(AA17^4)+0.9816*(AA17^3)-1.8039*(AA17^2)+1.8292*AA17-0.0098))),IF((0.0304*(AA17^5)-0.2619*(AA17^4)+0.9161*(AA17^3)-1.6837*(AA17^2)+1.7072*AA17-0.0091)&gt;0.8,0.8,IF((0.0304*(AA17^5)-0.2619*(AA17^4)+0.9161*(AA17^3)-1.6837*(AA17^2)+1.7072*AA17-0.0091)&lt;0,0,(0.0304*(AA17^5)-0.2619*(AA17^4)+0.9161*(AA17^3)-1.6837*(AA17^2)+1.7072*AA17-0.0091))))</f>
        <v>0.85</v>
      </c>
      <c r="AY17" s="144">
        <f>$V17*AX17</f>
        <v>247.3669764989281</v>
      </c>
      <c r="AZ17" s="400">
        <f>IF(AS17=AP17,AW17,AY17)</f>
        <v>247.3669764989281</v>
      </c>
      <c r="BA17" s="1100"/>
      <c r="BB17" s="1104"/>
      <c r="BC17" s="1105"/>
      <c r="BD17" s="1106"/>
      <c r="BE17" s="1107"/>
      <c r="BF17" s="14"/>
      <c r="BG17" t="s">
        <v>287</v>
      </c>
    </row>
    <row r="18" spans="1:59" ht="18.600000000000001" customHeight="1" x14ac:dyDescent="0.25">
      <c r="A18" s="261"/>
      <c r="B18" s="11">
        <v>-78.469398999999996</v>
      </c>
      <c r="C18" s="11">
        <v>38.082428999999998</v>
      </c>
      <c r="D18" s="26" t="s">
        <v>288</v>
      </c>
      <c r="E18" s="1048" t="s">
        <v>289</v>
      </c>
      <c r="F18" s="1015" t="s">
        <v>290</v>
      </c>
      <c r="G18" s="1015" t="s">
        <v>291</v>
      </c>
      <c r="H18" s="1021"/>
      <c r="I18" s="1021"/>
      <c r="J18" s="1048" t="s">
        <v>292</v>
      </c>
      <c r="K18" s="11">
        <v>1.75</v>
      </c>
      <c r="L18" s="11"/>
      <c r="M18" s="9">
        <v>0</v>
      </c>
      <c r="N18" s="9">
        <v>1.1200000000000001</v>
      </c>
      <c r="O18" s="25">
        <f>+M18/K18</f>
        <v>0</v>
      </c>
      <c r="P18" s="25">
        <f>+N18/K18</f>
        <v>0.64</v>
      </c>
      <c r="Q18" s="8"/>
      <c r="R18" s="8"/>
      <c r="S18" s="8"/>
      <c r="T18" s="8">
        <f>IF(J17="TT",IF(F17="u/g detention",(43*0.9*(0.05+0.9*P18)*0.26*$K18*2.72/12)-AK16,(43*0.9*(0.05+0.9*P18)*0.26*$K18*2.72/12)-AK17),43*0.9*(0.05+0.9*P18)*0.26*$K18*2.72/12)</f>
        <v>2.498528760000001</v>
      </c>
      <c r="U18" s="8">
        <f>T18*5.2</f>
        <v>12.992349552000006</v>
      </c>
      <c r="V18" s="8">
        <f>T18*420.9</f>
        <v>1051.6307550840004</v>
      </c>
      <c r="W18" s="8"/>
      <c r="X18" s="34" t="s">
        <v>278</v>
      </c>
      <c r="Y18" s="319">
        <v>284</v>
      </c>
      <c r="Z18" s="257">
        <v>1.1200000000000001</v>
      </c>
      <c r="AA18" s="258">
        <f>IF(Y18="NA", 0, (Y18/43560)*12/Z18)</f>
        <v>6.9854388036206208E-2</v>
      </c>
      <c r="AB18" s="742" t="s">
        <v>286</v>
      </c>
      <c r="AC18" s="288">
        <f t="shared" si="1"/>
        <v>0.5</v>
      </c>
      <c r="AD18" s="742">
        <f t="shared" si="0"/>
        <v>1.2492643800000005</v>
      </c>
      <c r="AE18" s="134">
        <f>IF(ISNA(VLOOKUP(H18,'Efficiency Lookup'!$B$2:$C$38,2,FALSE)),0,(VLOOKUP(H18,'Efficiency Lookup'!$B$2:$C$38,2,FALSE)))</f>
        <v>0</v>
      </c>
      <c r="AF18" s="133">
        <f>T18*AE18</f>
        <v>0</v>
      </c>
      <c r="AG18" s="134">
        <f>IF(ISNA(VLOOKUP(I18,'Efficiency Lookup'!$D$2:$E$35,2,FALSE)),0,VLOOKUP(I18,'Efficiency Lookup'!$D$2:$E$35,2,FALSE))</f>
        <v>0</v>
      </c>
      <c r="AH18" s="133">
        <f>T18*AG18</f>
        <v>0</v>
      </c>
      <c r="AI18" s="132">
        <f>IF(X18="RR",IF((0.0304*(AA18^5)-0.2619*(AA18^4)+0.9161*(AA18^3)-1.6837*(AA18^2)+1.7072*AA18-0.0091)&gt;0.85,0.85,IF((0.0304*(AA18^5)-0.2619*(AA18^4)+0.9161*(AA18^3)-1.6837*(AA18^2)+1.7072*AA18-0.0091)&lt;0,0,(0.0304*(AA18^5)-0.2619*(AA18^4)+0.9161*(AA18^3)-1.6837*(AA18^2)+1.7072*AA18-0.0091))),IF((0.0239*(AA18^5)-0.2058*(AA18^4)+0.7198*(AA18^3)-1.3229*(AA18^2)+1.3414*AA18-0.0072)&gt;0.65,0.65,IF((0.0239*(AA18^5)-0.2058*(AA18^4)+0.7198*(AA18^3)-1.3229*(AA18^2)+1.3414*AA18-0.0072)&lt;0,0,(0.0239*(AA18^5)-0.2058*(AA18^4)+0.7198*(AA18^3)-1.3229*(AA18^2)+1.3414*AA18-0.0072))))</f>
        <v>8.0287899626932266E-2</v>
      </c>
      <c r="AJ18" s="133">
        <f>T18*AI18</f>
        <v>0.20060162629788361</v>
      </c>
      <c r="AK18" s="516">
        <f t="shared" si="2"/>
        <v>1.2492643800000005</v>
      </c>
      <c r="AL18" s="1100"/>
      <c r="AM18" s="1100"/>
      <c r="AN18" s="1112"/>
      <c r="AO18" s="138">
        <f>IF(ISNA(VLOOKUP(I18,'Efficiency Lookup'!$D$2:$G$35,3,FALSE)),0,VLOOKUP(I18,'Efficiency Lookup'!$D$2:$G$35,3,FALSE))</f>
        <v>0</v>
      </c>
      <c r="AP18" s="133">
        <f>U18*AO18</f>
        <v>0</v>
      </c>
      <c r="AQ18" s="135">
        <f>IF(X18="RR",IF((0.0308*(AA18^5)-0.2562*(AA18^4)+0.8634*(AA18^3)-1.5285*(AA18^2)+1.501*AA18-0.013)&gt;0.7,0.7,IF((0.0308*(AA18^5)-0.2562*(AA18^4)+0.8634*(AA18^3)-1.5285*(AA18^2)+1.501*AA18-0.013)&lt;0,0,(0.0308*(AA18^5)-0.2562*(AA18^4)+0.8634*(AA18^3)-1.5285*(AA18^2)+1.501*AA18-0.013))),IF((0.0152*(AA18^5)-0.131*(AA18^4)+0.4581*(AA18^3)-0.8418*(AA18^2)+0.8536*AA18-0.0046)&gt;0.65,0.65,IF((0.0152*(AA18^5)-0.131*(AA18^4)+0.4581*(AA18^3)-0.8418*(AA18^2)+0.8536*AA18-0.0046)&lt;0,0,(0.0152*(AA18^5)-0.131*(AA18^4)+0.4581*(AA18^3)-0.8418*(AA18^2)+0.8536*AA18-0.0046))))</f>
        <v>5.1073084279090283E-2</v>
      </c>
      <c r="AR18" s="34">
        <f>U18*AQ18</f>
        <v>0.66355936365269719</v>
      </c>
      <c r="AS18" s="400">
        <f>IF(AK18=AF18,MAX(AP18,AR18),IF(AK18=AH18,AP18,AR18))</f>
        <v>0.66355936365269719</v>
      </c>
      <c r="AT18" s="1100"/>
      <c r="AU18" s="1104"/>
      <c r="AV18" s="138">
        <f>IF(ISNA(VLOOKUP(I18,'Efficiency Lookup'!$D$2:$G$35,4,FALSE)),0,VLOOKUP(I18,'Efficiency Lookup'!$D$2:$G$35,4,FALSE))</f>
        <v>0</v>
      </c>
      <c r="AW18" s="133">
        <f>$V18*AV18</f>
        <v>0</v>
      </c>
      <c r="AX18" s="135">
        <f>IF(X18="RR",IF((0.0326*(AA18^5)-0.2806*(AA18^4)+0.9816*(AA18^3)-1.8039*(AA18^2)+1.8292*AA18-0.0098)&gt;0.85,0.85,IF((0.0326*(AA18^5)-0.2806*(AA18^4)+0.9816*(AA18^3)-1.8039*(AA18^2)+1.8292*AA18-0.0098)&lt;0,0,(0.0326*(AA18^5)-0.2806*(AA18^4)+0.9816*(AA18^3)-1.8039*(AA18^2)+1.8292*AA18-0.0098))),IF((0.0304*(AA18^5)-0.2619*(AA18^4)+0.9161*(AA18^3)-1.6837*(AA18^2)+1.7072*AA18-0.0091)&gt;0.8,0.8,IF((0.0304*(AA18^5)-0.2619*(AA18^4)+0.9161*(AA18^3)-1.6837*(AA18^2)+1.7072*AA18-0.0091)&lt;0,0,(0.0304*(AA18^5)-0.2619*(AA18^4)+0.9161*(AA18^3)-1.6837*(AA18^2)+1.7072*AA18-0.0091))))</f>
        <v>0.1022456488893167</v>
      </c>
      <c r="AY18" s="144">
        <f>$V18*AX18</f>
        <v>107.5246689455257</v>
      </c>
      <c r="AZ18" s="400">
        <f>IF(AS18=AP18,AW18,AY18)</f>
        <v>107.5246689455257</v>
      </c>
      <c r="BA18" s="1100"/>
      <c r="BB18" s="1104"/>
      <c r="BC18" s="1105"/>
      <c r="BD18" s="1106"/>
      <c r="BE18" s="1107"/>
      <c r="BF18" s="14"/>
      <c r="BG18" t="s">
        <v>287</v>
      </c>
    </row>
    <row r="19" spans="1:59" ht="18.600000000000001" customHeight="1" x14ac:dyDescent="0.25">
      <c r="A19" s="261"/>
      <c r="B19" s="11">
        <v>-78.469550999999996</v>
      </c>
      <c r="C19" s="11">
        <v>38.082312000000002</v>
      </c>
      <c r="D19" s="13">
        <v>367.03</v>
      </c>
      <c r="E19" s="1048" t="s">
        <v>293</v>
      </c>
      <c r="F19" s="1048" t="s">
        <v>294</v>
      </c>
      <c r="G19" s="1048"/>
      <c r="H19" s="1021"/>
      <c r="I19" s="1021"/>
      <c r="J19" s="1048"/>
      <c r="K19" s="11">
        <v>3.76</v>
      </c>
      <c r="L19" s="11"/>
      <c r="M19" s="9">
        <v>0</v>
      </c>
      <c r="N19" s="9">
        <v>1.8</v>
      </c>
      <c r="O19" s="25">
        <f>+M19/K19</f>
        <v>0</v>
      </c>
      <c r="P19" s="25">
        <f>+N19/K19</f>
        <v>0.47872340425531917</v>
      </c>
      <c r="Q19" s="8"/>
      <c r="R19" s="8"/>
      <c r="S19" s="8"/>
      <c r="T19" s="8">
        <f>IF(J18="TT",IF(F18="u/g detention",(43*0.9*(0.05+0.9*P19)*0.26*$K19*2.72/12)-AK17,(43*0.9*(0.05+0.9*P19)*0.26*$K19*2.72/12)-AK18),43*0.9*(0.05+0.9*P19)*0.26*$K19*2.72/12)</f>
        <v>2.8742773800000005</v>
      </c>
      <c r="U19" s="8">
        <f>T19*5.2</f>
        <v>14.946242376000002</v>
      </c>
      <c r="V19" s="8">
        <f>T19*420.9</f>
        <v>1209.7833492420002</v>
      </c>
      <c r="W19" s="8"/>
      <c r="X19" s="34" t="s">
        <v>285</v>
      </c>
      <c r="Y19" s="319" t="s">
        <v>295</v>
      </c>
      <c r="Z19" s="257" t="s">
        <v>295</v>
      </c>
      <c r="AA19" s="258">
        <f>IF(Y19="NA", 0, (Y19/43560)*12/Z19)</f>
        <v>0</v>
      </c>
      <c r="AB19" s="742" t="s">
        <v>296</v>
      </c>
      <c r="AC19" s="134" t="str">
        <f t="shared" si="1"/>
        <v>NA</v>
      </c>
      <c r="AD19" s="741">
        <f t="shared" si="0"/>
        <v>0</v>
      </c>
      <c r="AE19" s="134">
        <f>IF(ISNA(VLOOKUP(H19,'Efficiency Lookup'!$B$2:$C$38,2,FALSE)),0,(VLOOKUP(H19,'Efficiency Lookup'!$B$2:$C$38,2,FALSE)))</f>
        <v>0</v>
      </c>
      <c r="AF19" s="133">
        <f>T19*AE19</f>
        <v>0</v>
      </c>
      <c r="AG19" s="134">
        <f>IF(ISNA(VLOOKUP(I19,'Efficiency Lookup'!$D$2:$E$35,2,FALSE)),0,VLOOKUP(I19,'Efficiency Lookup'!$D$2:$E$35,2,FALSE))</f>
        <v>0</v>
      </c>
      <c r="AH19" s="133">
        <f>T19*AG19</f>
        <v>0</v>
      </c>
      <c r="AI19" s="132">
        <f>IF(X19="RR",IF((0.0304*(AA19^5)-0.2619*(AA19^4)+0.9161*(AA19^3)-1.6837*(AA19^2)+1.7072*AA19-0.0091)&gt;0.85,0.85,IF((0.0304*(AA19^5)-0.2619*(AA19^4)+0.9161*(AA19^3)-1.6837*(AA19^2)+1.7072*AA19-0.0091)&lt;0,0,(0.0304*(AA19^5)-0.2619*(AA19^4)+0.9161*(AA19^3)-1.6837*(AA19^2)+1.7072*AA19-0.0091))),IF((0.0239*(AA19^5)-0.2058*(AA19^4)+0.7198*(AA19^3)-1.3229*(AA19^2)+1.3414*AA19-0.0072)&gt;0.65,0.65,IF((0.0239*(AA19^5)-0.2058*(AA19^4)+0.7198*(AA19^3)-1.3229*(AA19^2)+1.3414*AA19-0.0072)&lt;0,0,(0.0239*(AA19^5)-0.2058*(AA19^4)+0.7198*(AA19^3)-1.3229*(AA19^2)+1.3414*AA19-0.0072))))</f>
        <v>0</v>
      </c>
      <c r="AJ19" s="133">
        <f>T19*AI19</f>
        <v>0</v>
      </c>
      <c r="AK19" s="516">
        <f t="shared" si="2"/>
        <v>0</v>
      </c>
      <c r="AL19" s="1100"/>
      <c r="AM19" s="1100"/>
      <c r="AN19" s="1112"/>
      <c r="AO19" s="138">
        <f>IF(ISNA(VLOOKUP(I19,'Efficiency Lookup'!$D$2:$G$35,3,FALSE)),0,VLOOKUP(I19,'Efficiency Lookup'!$D$2:$G$35,3,FALSE))</f>
        <v>0</v>
      </c>
      <c r="AP19" s="133">
        <f>U19*AO19</f>
        <v>0</v>
      </c>
      <c r="AQ19" s="134">
        <f>IF(X19="RR",IF((0.0308*(AA19^5)-0.2562*(AA19^4)+0.8634*(AA19^3)-1.5285*(AA19^2)+1.501*AA19-0.013)&gt;0.7,0.7,IF((0.0308*(AA19^5)-0.2562*(AA19^4)+0.8634*(AA19^3)-1.5285*(AA19^2)+1.501*AA19-0.013)&lt;0,0,(0.0308*(AA19^5)-0.2562*(AA19^4)+0.8634*(AA19^3)-1.5285*(AA19^2)+1.501*AA19-0.013))),IF((0.0152*(AA19^5)-0.131*(AA19^4)+0.4581*(AA19^3)-0.8418*(AA19^2)+0.8536*AA19-0.0046)&gt;0.65,0.65,IF((0.0152*(AA19^5)-0.131*(AA19^4)+0.4581*(AA19^3)-0.8418*(AA19^2)+0.8536*AA19-0.0046)&lt;0,0,(0.0152*(AA19^5)-0.131*(AA19^4)+0.4581*(AA19^3)-0.8418*(AA19^2)+0.8536*AA19-0.0046))))</f>
        <v>0</v>
      </c>
      <c r="AR19" s="133">
        <f>IF(J18="TT", (U19-AS18)*AQ19, U19*AQ19)</f>
        <v>0</v>
      </c>
      <c r="AS19" s="400">
        <f>IF(AK19=AF19,MAX(AP19,AR19),IF(AK19=AH19,AP19,AR19))</f>
        <v>0</v>
      </c>
      <c r="AT19" s="1100"/>
      <c r="AU19" s="1104"/>
      <c r="AV19" s="138">
        <f>IF(ISNA(VLOOKUP(I19,'Efficiency Lookup'!$D$2:$G$35,4,FALSE)),0,VLOOKUP(I19,'Efficiency Lookup'!$D$2:$G$35,4,FALSE))</f>
        <v>0</v>
      </c>
      <c r="AW19" s="133">
        <f>$V19*AV19</f>
        <v>0</v>
      </c>
      <c r="AX19" s="134">
        <f>IF(X19="RR",IF((0.0326*(AA19^5)-0.2806*(AA19^4)+0.9816*(AA19^3)-1.8039*(AA19^2)+1.8292*AA19-0.0098)&gt;0.85,0.85,IF((0.0326*(AA19^5)-0.2806*(AA19^4)+0.9816*(AA19^3)-1.8039*(AA19^2)+1.8292*AA19-0.0098)&lt;0,0,(0.0326*(AA19^5)-0.2806*(AA19^4)+0.9816*(AA19^3)-1.8039*(AA19^2)+1.8292*AA19-0.0098))),IF((0.0304*(AA19^5)-0.2619*(AA19^4)+0.9161*(AA19^3)-1.6837*(AA19^2)+1.7072*AA19-0.0091)&gt;0.8,0.8,IF((0.0304*(AA19^5)-0.2619*(AA19^4)+0.9161*(AA19^3)-1.6837*(AA19^2)+1.7072*AA19-0.0091)&lt;0,0,(0.0304*(AA19^5)-0.2619*(AA19^4)+0.9161*(AA19^3)-1.6837*(AA19^2)+1.7072*AA19-0.0091))))</f>
        <v>0</v>
      </c>
      <c r="AY19" s="137">
        <f>$V19*AX19</f>
        <v>0</v>
      </c>
      <c r="AZ19" s="400">
        <f>IF(AS19=AP19,AW19,AY19)</f>
        <v>0</v>
      </c>
      <c r="BA19" s="1100"/>
      <c r="BB19" s="1104"/>
      <c r="BC19" s="1105"/>
      <c r="BD19" s="1106"/>
      <c r="BE19" s="1107"/>
      <c r="BF19" s="14"/>
      <c r="BG19" t="s">
        <v>287</v>
      </c>
    </row>
    <row r="20" spans="1:59" s="268" customFormat="1" ht="18.600000000000001" customHeight="1" x14ac:dyDescent="0.25">
      <c r="A20" s="269"/>
      <c r="B20" s="270"/>
      <c r="C20" s="270"/>
      <c r="D20" s="270"/>
      <c r="E20" s="262"/>
      <c r="F20" s="262"/>
      <c r="G20" s="262"/>
      <c r="H20" s="263"/>
      <c r="I20" s="263"/>
      <c r="J20" s="262"/>
      <c r="K20" s="271"/>
      <c r="L20" s="271"/>
      <c r="M20" s="272"/>
      <c r="N20" s="272"/>
      <c r="O20" s="273"/>
      <c r="P20" s="273"/>
      <c r="Q20" s="264"/>
      <c r="R20" s="264"/>
      <c r="S20" s="264"/>
      <c r="T20" s="264"/>
      <c r="U20" s="264"/>
      <c r="V20" s="264"/>
      <c r="W20" s="264"/>
      <c r="X20" s="264"/>
      <c r="Y20" s="265"/>
      <c r="Z20" s="265"/>
      <c r="AA20" s="264"/>
      <c r="AB20" s="743" t="s">
        <v>297</v>
      </c>
      <c r="AC20" s="751" t="str">
        <f t="shared" si="1"/>
        <v/>
      </c>
      <c r="AD20" s="274" t="str">
        <f t="shared" si="0"/>
        <v/>
      </c>
      <c r="AE20" s="266"/>
      <c r="AF20" s="266"/>
      <c r="AG20" s="274"/>
      <c r="AH20" s="274"/>
      <c r="AI20" s="264"/>
      <c r="AJ20" s="274"/>
      <c r="AK20" s="325" t="str">
        <f t="shared" si="2"/>
        <v/>
      </c>
      <c r="AO20" s="325"/>
      <c r="AP20" s="274"/>
      <c r="AQ20" s="274"/>
      <c r="AR20" s="274"/>
      <c r="AS20" s="326"/>
      <c r="AU20" s="276"/>
      <c r="AV20" s="280"/>
      <c r="AW20" s="266"/>
      <c r="AX20" s="274"/>
      <c r="AY20" s="275"/>
      <c r="AZ20" s="280"/>
      <c r="BA20" s="264"/>
      <c r="BB20" s="331"/>
      <c r="BE20" s="331"/>
      <c r="BF20" s="277"/>
    </row>
    <row r="21" spans="1:59" ht="18.600000000000001" customHeight="1" x14ac:dyDescent="0.25">
      <c r="A21" s="11" t="s">
        <v>298</v>
      </c>
      <c r="B21" s="11"/>
      <c r="C21" s="11"/>
      <c r="D21" s="1111" t="s">
        <v>271</v>
      </c>
      <c r="E21" s="1065"/>
      <c r="F21" s="1019"/>
      <c r="G21" s="1019"/>
      <c r="H21" s="1021"/>
      <c r="I21" s="1021"/>
      <c r="J21" s="1019"/>
      <c r="K21" s="11">
        <v>4.1900000000000004</v>
      </c>
      <c r="L21" s="11"/>
      <c r="M21" s="11">
        <v>0</v>
      </c>
      <c r="N21" s="11">
        <v>2.04</v>
      </c>
      <c r="O21" s="7">
        <f>+M21/K21</f>
        <v>0</v>
      </c>
      <c r="P21" s="7">
        <f>+N21/K21</f>
        <v>0.48687350835322191</v>
      </c>
      <c r="Q21" s="8">
        <f>43*0.9*(0.05+0.9*0.16)*0.26*$K21*2.72/12</f>
        <v>1.8539060592000001</v>
      </c>
      <c r="R21" s="39">
        <f>43*0.9*(0.05+0.9*O21)*0.26*$K21*2.72/12</f>
        <v>0.47781084000000024</v>
      </c>
      <c r="S21" s="8">
        <f>IF(J21="R",R21,Q21)</f>
        <v>1.8539060592000001</v>
      </c>
      <c r="T21" s="8">
        <f>43*0.9*(0.05+0.9*P21)*0.26*$K21*2.72/12</f>
        <v>4.665212760000002</v>
      </c>
      <c r="U21" s="8">
        <f>T21*5.2</f>
        <v>24.259106352000011</v>
      </c>
      <c r="V21" s="8">
        <f>T21*420.9</f>
        <v>1963.5880506840008</v>
      </c>
      <c r="W21" s="8">
        <f>IF(P21 &lt; 16%, 0, IF(K21 &lt; 1, 0, T21-S21))</f>
        <v>2.8113067008000021</v>
      </c>
      <c r="X21" s="8"/>
      <c r="Y21" s="257"/>
      <c r="Z21" s="257"/>
      <c r="AA21" s="8"/>
      <c r="AB21" s="744" t="s">
        <v>297</v>
      </c>
      <c r="AC21" s="750" t="str">
        <f t="shared" si="1"/>
        <v/>
      </c>
      <c r="AD21" s="741" t="str">
        <f t="shared" si="0"/>
        <v/>
      </c>
      <c r="AE21" s="34"/>
      <c r="AF21" s="34"/>
      <c r="AG21" s="8"/>
      <c r="AH21" s="133"/>
      <c r="AI21" s="8"/>
      <c r="AJ21" s="133"/>
      <c r="AK21" s="327" t="str">
        <f t="shared" si="2"/>
        <v/>
      </c>
      <c r="AO21" s="589"/>
      <c r="AP21" s="39"/>
      <c r="AQ21" s="39"/>
      <c r="AR21" s="39"/>
      <c r="AS21" s="306"/>
      <c r="AU21" s="28"/>
      <c r="AV21" s="589"/>
      <c r="AW21" s="39"/>
      <c r="AX21" s="39"/>
      <c r="AY21" s="136"/>
      <c r="AZ21" s="146"/>
      <c r="BA21" s="8"/>
      <c r="BB21" s="143"/>
      <c r="BE21" s="143"/>
      <c r="BF21" s="14" t="s">
        <v>299</v>
      </c>
      <c r="BG21" t="s">
        <v>300</v>
      </c>
    </row>
    <row r="22" spans="1:59" ht="18.600000000000001" customHeight="1" x14ac:dyDescent="0.25">
      <c r="A22" s="20"/>
      <c r="B22" s="11">
        <v>-78.447637999999998</v>
      </c>
      <c r="C22" s="11">
        <v>38.036884999999998</v>
      </c>
      <c r="D22" s="13">
        <v>376.01</v>
      </c>
      <c r="E22" s="1048" t="s">
        <v>274</v>
      </c>
      <c r="F22" s="1048" t="s">
        <v>275</v>
      </c>
      <c r="G22" s="1048"/>
      <c r="H22" s="1021" t="s">
        <v>276</v>
      </c>
      <c r="I22" s="1021" t="s">
        <v>277</v>
      </c>
      <c r="J22" s="1048" t="s">
        <v>301</v>
      </c>
      <c r="K22" s="11">
        <v>4.1900000000000004</v>
      </c>
      <c r="L22" s="11"/>
      <c r="M22" s="11">
        <v>0</v>
      </c>
      <c r="N22" s="11">
        <v>2.04</v>
      </c>
      <c r="O22" s="7">
        <f>+M22/K22</f>
        <v>0</v>
      </c>
      <c r="P22" s="7">
        <f>+N22/K22</f>
        <v>0.48687350835322191</v>
      </c>
      <c r="Q22" s="8"/>
      <c r="R22" s="8"/>
      <c r="S22" s="8"/>
      <c r="T22" s="8">
        <f>IF(J21="TT",IF(F21="u/g detention",(43*0.9*(0.05+0.9*P22)*0.26*$K22*2.72/12)-AK20,(43*0.9*(0.05+0.9*P22)*0.26*$K22*2.72/12)-AK21),43*0.9*(0.05+0.9*P22)*0.26*$K22*2.72/12)</f>
        <v>4.665212760000002</v>
      </c>
      <c r="U22" s="8">
        <f>T22*5.2</f>
        <v>24.259106352000011</v>
      </c>
      <c r="V22" s="8">
        <f>T22*420.9</f>
        <v>1963.5880506840008</v>
      </c>
      <c r="W22" s="8"/>
      <c r="X22" s="34" t="s">
        <v>278</v>
      </c>
      <c r="Y22" s="257">
        <v>91100</v>
      </c>
      <c r="Z22" s="257">
        <v>14.4</v>
      </c>
      <c r="AA22" s="258">
        <f>IF(Y22="NA", 0, (Y22/43560)*12/Z22)</f>
        <v>1.74280685644322</v>
      </c>
      <c r="AB22" s="742" t="s">
        <v>296</v>
      </c>
      <c r="AC22" s="134" t="str">
        <f t="shared" si="1"/>
        <v>NA</v>
      </c>
      <c r="AD22" s="741">
        <f t="shared" si="0"/>
        <v>0</v>
      </c>
      <c r="AE22" s="135">
        <f>IF(ISNA(VLOOKUP(H22,'Efficiency Lookup'!$B$2:$C$38,2,FALSE)),0,(VLOOKUP(H22,'Efficiency Lookup'!$B$2:$C$38,2,FALSE)))</f>
        <v>0.65</v>
      </c>
      <c r="AF22" s="34">
        <f>T22*AE22</f>
        <v>3.0323882940000013</v>
      </c>
      <c r="AG22" s="134">
        <f>IF(ISNA(VLOOKUP(I22,'Efficiency Lookup'!$D$2:$E$35,2,FALSE)),0,VLOOKUP(I22,'Efficiency Lookup'!$D$2:$E$35,2,FALSE))</f>
        <v>0.45</v>
      </c>
      <c r="AH22" s="133">
        <f>T22*AG22</f>
        <v>2.099345742000001</v>
      </c>
      <c r="AI22" s="132">
        <f>IF(X22="RR",IF((0.0304*(AA22^5)-0.2619*(AA22^4)+0.9161*(AA22^3)-1.6837*(AA22^2)+1.7072*AA22-0.0091)&gt;0.85,0.85,IF((0.0304*(AA22^5)-0.2619*(AA22^4)+0.9161*(AA22^3)-1.6837*(AA22^2)+1.7072*AA22-0.0091)&lt;0,0,(0.0304*(AA22^5)-0.2619*(AA22^4)+0.9161*(AA22^3)-1.6837*(AA22^2)+1.7072*AA22-0.0091))),IF((0.0239*(AA22^5)-0.2058*(AA22^4)+0.7198*(AA22^3)-1.3229*(AA22^2)+1.3414*AA22-0.0072)&gt;0.65,0.65,IF((0.0239*(AA22^5)-0.2058*(AA22^4)+0.7198*(AA22^3)-1.3229*(AA22^2)+1.3414*AA22-0.0072)&lt;0,0,(0.0239*(AA22^5)-0.2058*(AA22^4)+0.7198*(AA22^3)-1.3229*(AA22^2)+1.3414*AA22-0.0072))))</f>
        <v>0.60839848683262698</v>
      </c>
      <c r="AJ22" s="133">
        <f>T22*AI22</f>
        <v>2.8383083839362646</v>
      </c>
      <c r="AK22" s="516">
        <f t="shared" si="2"/>
        <v>3.0323882940000013</v>
      </c>
      <c r="AL22" s="34">
        <f>AK22</f>
        <v>3.0323882940000013</v>
      </c>
      <c r="AM22" s="313">
        <f>AL22-W21</f>
        <v>0.2210815931999992</v>
      </c>
      <c r="AN22" s="288">
        <f>AM22/AL22</f>
        <v>7.2906755918244262E-2</v>
      </c>
      <c r="AO22" s="138">
        <f>IF(ISNA(VLOOKUP(I22,'Efficiency Lookup'!$D$2:$G$35,3,FALSE)),0,VLOOKUP(I22,'Efficiency Lookup'!$D$2:$G$35,3,FALSE))</f>
        <v>0.2</v>
      </c>
      <c r="AP22" s="133">
        <f>U22*AO22</f>
        <v>4.8518212704000021</v>
      </c>
      <c r="AQ22" s="135">
        <f>IF(X22="RR",IF((0.0308*(AA22^5)-0.2562*(AA22^4)+0.8634*(AA22^3)-1.5285*(AA22^2)+1.501*AA22-0.013)&gt;0.7,0.7,IF((0.0308*(AA22^5)-0.2562*(AA22^4)+0.8634*(AA22^3)-1.5285*(AA22^2)+1.501*AA22-0.013)&lt;0,0,(0.0308*(AA22^5)-0.2562*(AA22^4)+0.8634*(AA22^3)-1.5285*(AA22^2)+1.501*AA22-0.013))),IF((0.0152*(AA22^5)-0.131*(AA22^4)+0.4581*(AA22^3)-0.8418*(AA22^2)+0.8536*AA22-0.0046)&gt;0.65,0.65,IF((0.0152*(AA22^5)-0.131*(AA22^4)+0.4581*(AA22^3)-0.8418*(AA22^2)+0.8536*AA22-0.0046)&lt;0,0,(0.0152*(AA22^5)-0.131*(AA22^4)+0.4581*(AA22^3)-0.8418*(AA22^2)+0.8536*AA22-0.0046))))</f>
        <v>0.38700983641442738</v>
      </c>
      <c r="AR22" s="34">
        <f>U22*AQ22</f>
        <v>9.3885127808477193</v>
      </c>
      <c r="AS22" s="400">
        <f>IF(AK22=AF22,MAX(AP22,AR22),IF(AK22=AH22,AP22,AR22))</f>
        <v>9.3885127808477193</v>
      </c>
      <c r="AT22" s="313">
        <f>AS22</f>
        <v>9.3885127808477193</v>
      </c>
      <c r="AU22" s="313">
        <f>AT22*AN22</f>
        <v>0.68448600974858131</v>
      </c>
      <c r="AV22" s="138">
        <f>IF(ISNA(VLOOKUP(I22,'Efficiency Lookup'!$D$2:$G$35,4,FALSE)),0,VLOOKUP(I22,'Efficiency Lookup'!$D$2:$G$35,4,FALSE))</f>
        <v>0.6</v>
      </c>
      <c r="AW22" s="133">
        <f>$V22*AV22</f>
        <v>1178.1528304104004</v>
      </c>
      <c r="AX22" s="135">
        <f>IF(X22="RR",IF((0.0326*(AA22^5)-0.2806*(AA22^4)+0.9816*(AA22^3)-1.8039*(AA22^2)+1.8292*AA22-0.0098)&gt;0.85,0.85,IF((0.0326*(AA22^5)-0.2806*(AA22^4)+0.9816*(AA22^3)-1.8039*(AA22^2)+1.8292*AA22-0.0098)&lt;0,0,(0.0326*(AA22^5)-0.2806*(AA22^4)+0.9816*(AA22^3)-1.8039*(AA22^2)+1.8292*AA22-0.0098))),IF((0.0304*(AA22^5)-0.2619*(AA22^4)+0.9161*(AA22^3)-1.6837*(AA22^2)+1.7072*AA22-0.0091)&gt;0.8,0.8,IF((0.0304*(AA22^5)-0.2619*(AA22^4)+0.9161*(AA22^3)-1.6837*(AA22^2)+1.7072*AA22-0.0091)&lt;0,0,(0.0304*(AA22^5)-0.2619*(AA22^4)+0.9161*(AA22^3)-1.6837*(AA22^2)+1.7072*AA22-0.0091))))</f>
        <v>0.77420914446654365</v>
      </c>
      <c r="AY22" s="144">
        <f>$V22*AX22</f>
        <v>1520.2278248047885</v>
      </c>
      <c r="AZ22" s="400">
        <f>IF(AS22=AP22,AW22,AY22)</f>
        <v>1520.2278248047885</v>
      </c>
      <c r="BA22" s="313">
        <f>AZ22</f>
        <v>1520.2278248047885</v>
      </c>
      <c r="BB22" s="401">
        <f>BA22*AN22</f>
        <v>110.83487896316612</v>
      </c>
      <c r="BC22" s="318">
        <f>AM22</f>
        <v>0.2210815931999992</v>
      </c>
      <c r="BD22" s="318">
        <f>AU22</f>
        <v>0.68448600974858131</v>
      </c>
      <c r="BE22" s="332">
        <f>BB22</f>
        <v>110.83487896316612</v>
      </c>
      <c r="BF22" s="14"/>
      <c r="BG22" t="s">
        <v>287</v>
      </c>
    </row>
    <row r="23" spans="1:59" s="268" customFormat="1" ht="18.600000000000001" customHeight="1" x14ac:dyDescent="0.25">
      <c r="B23" s="271"/>
      <c r="C23" s="271"/>
      <c r="G23" s="277"/>
      <c r="H23" s="263"/>
      <c r="I23" s="263"/>
      <c r="Q23" s="264"/>
      <c r="S23" s="264"/>
      <c r="T23" s="264"/>
      <c r="U23" s="264"/>
      <c r="V23" s="264"/>
      <c r="W23" s="264"/>
      <c r="X23" s="264"/>
      <c r="Y23" s="265"/>
      <c r="Z23" s="265"/>
      <c r="AA23" s="264"/>
      <c r="AB23" s="743" t="s">
        <v>297</v>
      </c>
      <c r="AC23" s="751" t="str">
        <f t="shared" si="1"/>
        <v/>
      </c>
      <c r="AD23" s="303" t="str">
        <f t="shared" si="0"/>
        <v/>
      </c>
      <c r="AE23" s="264"/>
      <c r="AF23" s="266"/>
      <c r="AG23" s="303"/>
      <c r="AH23" s="274"/>
      <c r="AI23" s="303"/>
      <c r="AJ23" s="274"/>
      <c r="AK23" s="328" t="str">
        <f t="shared" si="2"/>
        <v/>
      </c>
      <c r="AO23" s="329"/>
      <c r="AP23" s="303"/>
      <c r="AQ23" s="303"/>
      <c r="AR23" s="303"/>
      <c r="AS23" s="326"/>
      <c r="AV23" s="329"/>
      <c r="AW23" s="303"/>
      <c r="AX23" s="303"/>
      <c r="AY23" s="285"/>
      <c r="AZ23" s="326"/>
      <c r="BB23" s="331"/>
      <c r="BE23" s="331"/>
      <c r="BF23" s="277"/>
    </row>
    <row r="24" spans="1:59" ht="18.600000000000001" customHeight="1" x14ac:dyDescent="0.25">
      <c r="A24" s="261" t="s">
        <v>302</v>
      </c>
      <c r="B24" s="261"/>
      <c r="C24" s="261"/>
      <c r="D24" s="1111" t="s">
        <v>271</v>
      </c>
      <c r="E24" s="1065"/>
      <c r="F24" s="1019"/>
      <c r="G24" s="1019"/>
      <c r="H24" s="1021"/>
      <c r="I24" s="1021"/>
      <c r="J24" s="1019"/>
      <c r="K24" s="11">
        <v>9.66</v>
      </c>
      <c r="L24" s="11"/>
      <c r="M24" s="9">
        <f>8150/43560</f>
        <v>0.18709825528007346</v>
      </c>
      <c r="N24" s="9">
        <f>4.81+0.25</f>
        <v>5.0599999999999996</v>
      </c>
      <c r="O24" s="7">
        <f>+M24/K24</f>
        <v>1.9368349407875098E-2</v>
      </c>
      <c r="P24" s="7">
        <f>+N24/K24</f>
        <v>0.52380952380952372</v>
      </c>
      <c r="Q24" s="8">
        <f>43*0.9*(0.05+0.9*0.16)*0.26*$K24*2.72/12</f>
        <v>4.2741605088000005</v>
      </c>
      <c r="R24" s="39">
        <f>43*0.9*(0.05+0.9*O24)*0.26*$K24*2.72/12</f>
        <v>1.4856346195041323</v>
      </c>
      <c r="S24" s="8">
        <f>IF(J24="R",R24,Q24)</f>
        <v>4.2741605088000005</v>
      </c>
      <c r="T24" s="8">
        <f>43*0.9*(0.05+0.9*P24)*0.26*$K24*2.72/12</f>
        <v>11.487986640000001</v>
      </c>
      <c r="U24" s="8">
        <f>T24*5.2</f>
        <v>59.737530528000008</v>
      </c>
      <c r="V24" s="8">
        <f>T24*420.9</f>
        <v>4835.293576776</v>
      </c>
      <c r="W24" s="8">
        <f>IF(P24 &lt; 16%, 0, IF(K24 &lt; 1, 0, T24-S24))</f>
        <v>7.2138261312000003</v>
      </c>
      <c r="X24" s="8"/>
      <c r="Y24" s="257"/>
      <c r="Z24" s="257"/>
      <c r="AA24" s="8"/>
      <c r="AB24" s="744" t="s">
        <v>297</v>
      </c>
      <c r="AC24" s="750" t="str">
        <f t="shared" si="1"/>
        <v/>
      </c>
      <c r="AD24" s="39" t="str">
        <f t="shared" si="0"/>
        <v/>
      </c>
      <c r="AE24" s="34"/>
      <c r="AF24" s="34"/>
      <c r="AG24" s="39"/>
      <c r="AH24" s="133"/>
      <c r="AI24" s="39"/>
      <c r="AJ24" s="133"/>
      <c r="AK24" s="327" t="str">
        <f t="shared" si="2"/>
        <v/>
      </c>
      <c r="AO24" s="589"/>
      <c r="AP24" s="39"/>
      <c r="AQ24" s="39"/>
      <c r="AR24" s="39"/>
      <c r="AS24" s="306"/>
      <c r="AU24" s="28"/>
      <c r="AV24" s="589"/>
      <c r="AW24" s="39"/>
      <c r="AX24" s="39"/>
      <c r="AY24" s="136"/>
      <c r="AZ24" s="146"/>
      <c r="BA24" s="8"/>
      <c r="BB24" s="143"/>
      <c r="BE24" s="143"/>
      <c r="BF24" s="1115" t="s">
        <v>303</v>
      </c>
      <c r="BG24" t="s">
        <v>304</v>
      </c>
    </row>
    <row r="25" spans="1:59" ht="18.600000000000001" customHeight="1" x14ac:dyDescent="0.25">
      <c r="A25" s="261"/>
      <c r="B25" s="11">
        <v>-78.498600999999994</v>
      </c>
      <c r="C25" s="11">
        <v>37.993623999999997</v>
      </c>
      <c r="D25" s="13">
        <v>1</v>
      </c>
      <c r="E25" s="1048" t="s">
        <v>274</v>
      </c>
      <c r="F25" s="1048" t="s">
        <v>275</v>
      </c>
      <c r="G25" s="1048"/>
      <c r="H25" s="1021" t="s">
        <v>276</v>
      </c>
      <c r="I25" s="1021" t="s">
        <v>277</v>
      </c>
      <c r="J25" s="1048"/>
      <c r="K25" s="11">
        <v>9</v>
      </c>
      <c r="L25" s="11"/>
      <c r="M25" s="9">
        <v>0.19</v>
      </c>
      <c r="N25" s="9">
        <v>5</v>
      </c>
      <c r="O25" s="7">
        <f>+M25/K25</f>
        <v>2.1111111111111112E-2</v>
      </c>
      <c r="P25" s="7">
        <f>+N25/K25</f>
        <v>0.55555555555555558</v>
      </c>
      <c r="Q25" s="8"/>
      <c r="R25" s="8"/>
      <c r="S25" s="8"/>
      <c r="T25" s="8">
        <f>IF(J24="TT",IF(F24="u/g detention",(43*0.9*(0.05+0.9*P25)*0.26*$K25*2.72/12)-AK23,(43*0.9*(0.05+0.9*P25)*0.26*$K25*2.72/12)-AK24),43*0.9*(0.05+0.9*P25)*0.26*$K25*2.72/12)</f>
        <v>11.289564000000004</v>
      </c>
      <c r="U25" s="8">
        <f>T25*5.2</f>
        <v>58.705732800000021</v>
      </c>
      <c r="V25" s="8">
        <f>T25*420.9</f>
        <v>4751.7774876000012</v>
      </c>
      <c r="W25" s="8"/>
      <c r="X25" s="34" t="s">
        <v>278</v>
      </c>
      <c r="Y25" s="257">
        <v>67030</v>
      </c>
      <c r="Z25" s="257">
        <v>5</v>
      </c>
      <c r="AA25" s="258">
        <f>IF(Y25="NA", 0, (Y25/43560)*12/Z25)</f>
        <v>3.6931129476584017</v>
      </c>
      <c r="AB25" s="742" t="s">
        <v>296</v>
      </c>
      <c r="AC25" s="134" t="str">
        <f t="shared" si="1"/>
        <v>NA</v>
      </c>
      <c r="AD25" s="741">
        <f t="shared" si="0"/>
        <v>0</v>
      </c>
      <c r="AE25" s="135">
        <f>IF(ISNA(VLOOKUP(H25,'Efficiency Lookup'!$B$2:$C$38,2,FALSE)),0,(VLOOKUP(H25,'Efficiency Lookup'!$B$2:$C$38,2,FALSE)))</f>
        <v>0.65</v>
      </c>
      <c r="AF25" s="34">
        <f>T25*AE25</f>
        <v>7.3382166000000026</v>
      </c>
      <c r="AG25" s="134">
        <f>IF(ISNA(VLOOKUP(I25,'Efficiency Lookup'!$D$2:$E$35,2,FALSE)),0,VLOOKUP(I25,'Efficiency Lookup'!$D$2:$E$35,2,FALSE))</f>
        <v>0.45</v>
      </c>
      <c r="AH25" s="133">
        <f>T25*AG25</f>
        <v>5.080303800000002</v>
      </c>
      <c r="AI25" s="132">
        <f>IF(X25="RR",IF((0.0304*(AA25^5)-0.2619*(AA25^4)+0.9161*(AA25^3)-1.6837*(AA25^2)+1.7072*AA25-0.0091)&gt;0.85,0.85,IF((0.0304*(AA25^5)-0.2619*(AA25^4)+0.9161*(AA25^3)-1.6837*(AA25^2)+1.7072*AA25-0.0091)&lt;0,0,(0.0304*(AA25^5)-0.2619*(AA25^4)+0.9161*(AA25^3)-1.6837*(AA25^2)+1.7072*AA25-0.0091))),IF((0.0239*(AA25^5)-0.2058*(AA25^4)+0.7198*(AA25^3)-1.3229*(AA25^2)+1.3414*AA25-0.0072)&gt;0.65,0.65,IF((0.0239*(AA25^5)-0.2058*(AA25^4)+0.7198*(AA25^3)-1.3229*(AA25^2)+1.3414*AA25-0.0072)&lt;0,0,(0.0239*(AA25^5)-0.2058*(AA25^4)+0.7198*(AA25^3)-1.3229*(AA25^2)+1.3414*AA25-0.0072))))</f>
        <v>0.65</v>
      </c>
      <c r="AJ25" s="133">
        <f>T25*AI25</f>
        <v>7.3382166000000026</v>
      </c>
      <c r="AK25" s="516">
        <f t="shared" si="2"/>
        <v>7.3382166000000026</v>
      </c>
      <c r="AL25" s="34">
        <f>AK25</f>
        <v>7.3382166000000026</v>
      </c>
      <c r="AM25" s="313">
        <f>AL25-W24</f>
        <v>0.12439046880000237</v>
      </c>
      <c r="AN25" s="288">
        <f>AM25/AL25</f>
        <v>1.6951048951049267E-2</v>
      </c>
      <c r="AO25" s="138">
        <f>IF(ISNA(VLOOKUP(I25,'Efficiency Lookup'!$D$2:$G$35,3,FALSE)),0,VLOOKUP(I25,'Efficiency Lookup'!$D$2:$G$35,3,FALSE))</f>
        <v>0.2</v>
      </c>
      <c r="AP25" s="133">
        <f>U25*AO25</f>
        <v>11.741146560000004</v>
      </c>
      <c r="AQ25" s="135">
        <f>IF(X25="RR",IF((0.0308*(AA25^5)-0.2562*(AA25^4)+0.8634*(AA25^3)-1.5285*(AA25^2)+1.501*AA25-0.013)&gt;0.7,0.7,IF((0.0308*(AA25^5)-0.2562*(AA25^4)+0.8634*(AA25^3)-1.5285*(AA25^2)+1.501*AA25-0.013)&lt;0,0,(0.0308*(AA25^5)-0.2562*(AA25^4)+0.8634*(AA25^3)-1.5285*(AA25^2)+1.501*AA25-0.013))),IF((0.0152*(AA25^5)-0.131*(AA25^4)+0.4581*(AA25^3)-0.8418*(AA25^2)+0.8536*AA25-0.0046)&gt;0.65,0.65,IF((0.0152*(AA25^5)-0.131*(AA25^4)+0.4581*(AA25^3)-0.8418*(AA25^2)+0.8536*AA25-0.0046)&lt;0,0,(0.0152*(AA25^5)-0.131*(AA25^4)+0.4581*(AA25^3)-0.8418*(AA25^2)+0.8536*AA25-0.0046))))</f>
        <v>0.65</v>
      </c>
      <c r="AR25" s="34">
        <f>U25*AQ25</f>
        <v>38.158726320000014</v>
      </c>
      <c r="AS25" s="400">
        <f>IF(AK25=AF25,MAX(AP25,AR25),IF(AK25=AH25,AP25,AR25))</f>
        <v>38.158726320000014</v>
      </c>
      <c r="AT25" s="313">
        <f>AS25</f>
        <v>38.158726320000014</v>
      </c>
      <c r="AU25" s="313">
        <f>AT25*AN25</f>
        <v>0.64683043776001226</v>
      </c>
      <c r="AV25" s="138">
        <f>IF(ISNA(VLOOKUP(I25,'Efficiency Lookup'!$D$2:$G$35,4,FALSE)),0,VLOOKUP(I25,'Efficiency Lookup'!$D$2:$G$35,4,FALSE))</f>
        <v>0.6</v>
      </c>
      <c r="AW25" s="133">
        <f>$V25*AV25</f>
        <v>2851.0664925600008</v>
      </c>
      <c r="AX25" s="135">
        <f>IF(X25="RR",IF((0.0326*(AA25^5)-0.2806*(AA25^4)+0.9816*(AA25^3)-1.8039*(AA25^2)+1.8292*AA25-0.0098)&gt;0.85,0.85,IF((0.0326*(AA25^5)-0.2806*(AA25^4)+0.9816*(AA25^3)-1.8039*(AA25^2)+1.8292*AA25-0.0098)&lt;0,0,(0.0326*(AA25^5)-0.2806*(AA25^4)+0.9816*(AA25^3)-1.8039*(AA25^2)+1.8292*AA25-0.0098))),IF((0.0304*(AA25^5)-0.2619*(AA25^4)+0.9161*(AA25^3)-1.6837*(AA25^2)+1.7072*AA25-0.0091)&gt;0.8,0.8,IF((0.0304*(AA25^5)-0.2619*(AA25^4)+0.9161*(AA25^3)-1.6837*(AA25^2)+1.7072*AA25-0.0091)&lt;0,0,(0.0304*(AA25^5)-0.2619*(AA25^4)+0.9161*(AA25^3)-1.6837*(AA25^2)+1.7072*AA25-0.0091))))</f>
        <v>0.8</v>
      </c>
      <c r="AY25" s="144">
        <f>$V25*AX25</f>
        <v>3801.4219900800013</v>
      </c>
      <c r="AZ25" s="400">
        <f>IF(AS25=AP25,AW25,AY25)</f>
        <v>3801.4219900800013</v>
      </c>
      <c r="BA25" s="313">
        <f>AZ25</f>
        <v>3801.4219900800013</v>
      </c>
      <c r="BB25" s="401">
        <f>BA25*AN25</f>
        <v>64.438090237441216</v>
      </c>
      <c r="BC25" s="318">
        <f>AM25</f>
        <v>0.12439046880000237</v>
      </c>
      <c r="BD25" s="318">
        <f>AU25</f>
        <v>0.64683043776001226</v>
      </c>
      <c r="BE25" s="332">
        <f>BB25</f>
        <v>64.438090237441216</v>
      </c>
      <c r="BF25" s="1115"/>
      <c r="BG25" t="s">
        <v>305</v>
      </c>
    </row>
    <row r="26" spans="1:59" s="268" customFormat="1" ht="18.600000000000001" customHeight="1" x14ac:dyDescent="0.25">
      <c r="B26" s="271"/>
      <c r="C26" s="271"/>
      <c r="G26" s="277"/>
      <c r="H26" s="263"/>
      <c r="I26" s="263"/>
      <c r="Q26" s="264"/>
      <c r="S26" s="264"/>
      <c r="T26" s="264"/>
      <c r="U26" s="264"/>
      <c r="V26" s="264"/>
      <c r="W26" s="264"/>
      <c r="X26" s="264"/>
      <c r="Y26" s="265"/>
      <c r="Z26" s="265"/>
      <c r="AA26" s="264"/>
      <c r="AB26" s="743" t="s">
        <v>297</v>
      </c>
      <c r="AC26" s="751" t="str">
        <f t="shared" si="1"/>
        <v/>
      </c>
      <c r="AD26" s="303" t="str">
        <f t="shared" si="0"/>
        <v/>
      </c>
      <c r="AE26" s="266"/>
      <c r="AF26" s="266"/>
      <c r="AG26" s="303"/>
      <c r="AH26" s="274"/>
      <c r="AI26" s="303"/>
      <c r="AJ26" s="274"/>
      <c r="AK26" s="328" t="str">
        <f t="shared" si="2"/>
        <v/>
      </c>
      <c r="AO26" s="329"/>
      <c r="AP26" s="303"/>
      <c r="AQ26" s="303"/>
      <c r="AR26" s="303"/>
      <c r="AS26" s="326"/>
      <c r="AV26" s="329"/>
      <c r="AW26" s="303"/>
      <c r="AX26" s="303"/>
      <c r="AY26" s="285"/>
      <c r="AZ26" s="326"/>
      <c r="BB26" s="331"/>
      <c r="BE26" s="331"/>
      <c r="BF26" s="277"/>
    </row>
    <row r="27" spans="1:59" ht="18.600000000000001" customHeight="1" x14ac:dyDescent="0.25">
      <c r="A27" s="261" t="s">
        <v>306</v>
      </c>
      <c r="B27" s="261"/>
      <c r="C27" s="261"/>
      <c r="D27" s="1111" t="s">
        <v>271</v>
      </c>
      <c r="E27" s="1065"/>
      <c r="F27" s="1019"/>
      <c r="G27" s="1019"/>
      <c r="H27" s="1021"/>
      <c r="I27" s="1021"/>
      <c r="J27" s="1019"/>
      <c r="K27" s="11">
        <v>23.82</v>
      </c>
      <c r="L27" s="11"/>
      <c r="M27" s="11">
        <v>0</v>
      </c>
      <c r="N27" s="11">
        <v>11.2</v>
      </c>
      <c r="O27" s="7">
        <f>+M27/K27</f>
        <v>0</v>
      </c>
      <c r="P27" s="7">
        <f>+N27/K27</f>
        <v>0.47019311502938704</v>
      </c>
      <c r="Q27" s="8">
        <f>43*0.9*(0.05+0.9*0.16)*0.26*$K27*2.72/12</f>
        <v>10.539389577600002</v>
      </c>
      <c r="R27" s="39">
        <f>43*0.9*(0.05+0.9*O27)*0.26*$K27*2.72/12</f>
        <v>2.7163375200000011</v>
      </c>
      <c r="S27" s="8">
        <f>IF(J27="R",R27,Q27)</f>
        <v>10.539389577600002</v>
      </c>
      <c r="T27" s="8">
        <f>43*0.9*(0.05+0.9*P27)*0.26*$K27*2.72/12</f>
        <v>25.705995120000001</v>
      </c>
      <c r="U27" s="8">
        <f>T27*5.2</f>
        <v>133.671174624</v>
      </c>
      <c r="V27" s="8">
        <f>T27*420.9</f>
        <v>10819.653346007999</v>
      </c>
      <c r="W27" s="8">
        <f>IF(P27 &lt; 16%, 0, IF(K27 &lt; 1, 0, T27-S27))</f>
        <v>15.166605542399999</v>
      </c>
      <c r="X27" s="8"/>
      <c r="Y27" s="257"/>
      <c r="Z27" s="257"/>
      <c r="AA27" s="8"/>
      <c r="AB27" s="744" t="s">
        <v>297</v>
      </c>
      <c r="AC27" s="750" t="str">
        <f t="shared" si="1"/>
        <v/>
      </c>
      <c r="AD27" s="39" t="str">
        <f t="shared" si="0"/>
        <v/>
      </c>
      <c r="AE27" s="34"/>
      <c r="AF27" s="34"/>
      <c r="AG27" s="39"/>
      <c r="AH27" s="133"/>
      <c r="AI27" s="39"/>
      <c r="AJ27" s="133"/>
      <c r="AK27" s="327" t="str">
        <f t="shared" si="2"/>
        <v/>
      </c>
      <c r="AO27" s="589"/>
      <c r="AP27" s="39"/>
      <c r="AQ27" s="39"/>
      <c r="AR27" s="39"/>
      <c r="AS27" s="306"/>
      <c r="AU27" s="28"/>
      <c r="AV27" s="589"/>
      <c r="AW27" s="39"/>
      <c r="AX27" s="39"/>
      <c r="AY27" s="136"/>
      <c r="AZ27" s="146"/>
      <c r="BA27" s="8"/>
      <c r="BB27" s="143"/>
      <c r="BE27" s="143"/>
      <c r="BF27" s="14"/>
      <c r="BG27" t="s">
        <v>300</v>
      </c>
    </row>
    <row r="28" spans="1:59" ht="18.600000000000001" customHeight="1" x14ac:dyDescent="0.25">
      <c r="A28" s="261"/>
      <c r="B28" s="11">
        <v>-78.461765999999997</v>
      </c>
      <c r="C28" s="11">
        <v>38.068285000000003</v>
      </c>
      <c r="D28" s="13">
        <v>383.01</v>
      </c>
      <c r="E28" s="1048" t="s">
        <v>274</v>
      </c>
      <c r="F28" s="1048" t="s">
        <v>275</v>
      </c>
      <c r="G28" s="1048"/>
      <c r="H28" s="1021" t="s">
        <v>276</v>
      </c>
      <c r="I28" s="1021" t="s">
        <v>277</v>
      </c>
      <c r="J28" s="1048"/>
      <c r="K28" s="11">
        <v>23.82</v>
      </c>
      <c r="L28" s="11"/>
      <c r="M28" s="11">
        <v>0</v>
      </c>
      <c r="N28" s="11">
        <v>11.2</v>
      </c>
      <c r="O28" s="7">
        <f>+M28/K28</f>
        <v>0</v>
      </c>
      <c r="P28" s="7">
        <f>+N28/K28</f>
        <v>0.47019311502938704</v>
      </c>
      <c r="Q28" s="8"/>
      <c r="R28" s="8"/>
      <c r="S28" s="8"/>
      <c r="T28" s="8">
        <f>IF(J27="TT",IF(F27="u/g detention",(43*0.9*(0.05+0.9*P28)*0.26*$K28*2.72/12)-AK26,(43*0.9*(0.05+0.9*P28)*0.26*$K28*2.72/12)-AK27),43*0.9*(0.05+0.9*P28)*0.26*$K28*2.72/12)</f>
        <v>25.705995120000001</v>
      </c>
      <c r="U28" s="8">
        <f>T28*5.2</f>
        <v>133.671174624</v>
      </c>
      <c r="V28" s="8">
        <f>T28*420.9</f>
        <v>10819.653346007999</v>
      </c>
      <c r="W28" s="8"/>
      <c r="X28" s="34" t="s">
        <v>278</v>
      </c>
      <c r="Y28" s="257">
        <v>100257</v>
      </c>
      <c r="Z28" s="257">
        <v>11.2</v>
      </c>
      <c r="AA28" s="258">
        <f>IF(Y28="NA", 0, (Y28/43560)*12/Z28)</f>
        <v>2.4659828807556083</v>
      </c>
      <c r="AB28" s="742" t="s">
        <v>296</v>
      </c>
      <c r="AC28" s="134" t="str">
        <f t="shared" si="1"/>
        <v>NA</v>
      </c>
      <c r="AD28" s="741">
        <f t="shared" si="0"/>
        <v>0</v>
      </c>
      <c r="AE28" s="135">
        <f>IF(ISNA(VLOOKUP(H28,'Efficiency Lookup'!$B$2:$C$38,2,FALSE)),0,(VLOOKUP(H28,'Efficiency Lookup'!$B$2:$C$38,2,FALSE)))</f>
        <v>0.65</v>
      </c>
      <c r="AF28" s="34">
        <f>T28*AE28</f>
        <v>16.708896828</v>
      </c>
      <c r="AG28" s="134">
        <f>IF(ISNA(VLOOKUP(I28,'Efficiency Lookup'!$D$2:$E$35,2,FALSE)),0,VLOOKUP(I28,'Efficiency Lookup'!$D$2:$E$35,2,FALSE))</f>
        <v>0.45</v>
      </c>
      <c r="AH28" s="133">
        <f>T28*AG28</f>
        <v>11.567697804</v>
      </c>
      <c r="AI28" s="132">
        <f>IF(X28="RR",IF((0.0304*(AA28^5)-0.2619*(AA28^4)+0.9161*(AA28^3)-1.6837*(AA28^2)+1.7072*AA28-0.0091)&gt;0.85,0.85,IF((0.0304*(AA28^5)-0.2619*(AA28^4)+0.9161*(AA28^3)-1.6837*(AA28^2)+1.7072*AA28-0.0091)&lt;0,0,(0.0304*(AA28^5)-0.2619*(AA28^4)+0.9161*(AA28^3)-1.6837*(AA28^2)+1.7072*AA28-0.0091))),IF((0.0239*(AA28^5)-0.2058*(AA28^4)+0.7198*(AA28^3)-1.3229*(AA28^2)+1.3414*AA28-0.0072)&gt;0.65,0.65,IF((0.0239*(AA28^5)-0.2058*(AA28^4)+0.7198*(AA28^3)-1.3229*(AA28^2)+1.3414*AA28-0.0072)&lt;0,0,(0.0239*(AA28^5)-0.2058*(AA28^4)+0.7198*(AA28^3)-1.3229*(AA28^2)+1.3414*AA28-0.0072))))</f>
        <v>0.61909935674403249</v>
      </c>
      <c r="AJ28" s="133">
        <f>T28*AI28</f>
        <v>15.914565043257239</v>
      </c>
      <c r="AK28" s="516">
        <f t="shared" si="2"/>
        <v>16.708896828</v>
      </c>
      <c r="AL28" s="34">
        <f>AK28</f>
        <v>16.708896828</v>
      </c>
      <c r="AM28" s="313">
        <f>AL28-W27</f>
        <v>1.5422912856000011</v>
      </c>
      <c r="AN28" s="288">
        <f>AM28/AL28</f>
        <v>9.2303597387440942E-2</v>
      </c>
      <c r="AO28" s="138">
        <f>IF(ISNA(VLOOKUP(I28,'Efficiency Lookup'!$D$2:$G$35,3,FALSE)),0,VLOOKUP(I28,'Efficiency Lookup'!$D$2:$G$35,3,FALSE))</f>
        <v>0.2</v>
      </c>
      <c r="AP28" s="133">
        <f>U28*AO28</f>
        <v>26.734234924800003</v>
      </c>
      <c r="AQ28" s="135">
        <f>IF(X28="RR",IF((0.0308*(AA28^5)-0.2562*(AA28^4)+0.8634*(AA28^3)-1.5285*(AA28^2)+1.501*AA28-0.013)&gt;0.7,0.7,IF((0.0308*(AA28^5)-0.2562*(AA28^4)+0.8634*(AA28^3)-1.5285*(AA28^2)+1.501*AA28-0.013)&lt;0,0,(0.0308*(AA28^5)-0.2562*(AA28^4)+0.8634*(AA28^3)-1.5285*(AA28^2)+1.501*AA28-0.013))),IF((0.0152*(AA28^5)-0.131*(AA28^4)+0.4581*(AA28^3)-0.8418*(AA28^2)+0.8536*AA28-0.0046)&gt;0.65,0.65,IF((0.0152*(AA28^5)-0.131*(AA28^4)+0.4581*(AA28^3)-0.8418*(AA28^2)+0.8536*AA28-0.0046)&lt;0,0,(0.0152*(AA28^5)-0.131*(AA28^4)+0.4581*(AA28^3)-0.8418*(AA28^2)+0.8536*AA28-0.0046))))</f>
        <v>0.39269362805087343</v>
      </c>
      <c r="AR28" s="34">
        <f>U28*AQ28</f>
        <v>52.491818528920412</v>
      </c>
      <c r="AS28" s="400">
        <f>IF(AK28=AF28,MAX(AP28,AR28),IF(AK28=AH28,AP28,AR28))</f>
        <v>52.491818528920412</v>
      </c>
      <c r="AT28" s="313">
        <f>AS28</f>
        <v>52.491818528920412</v>
      </c>
      <c r="AU28" s="313">
        <f>AT28*AN28</f>
        <v>4.8451836836280817</v>
      </c>
      <c r="AV28" s="138">
        <f>IF(ISNA(VLOOKUP(I28,'Efficiency Lookup'!$D$2:$G$35,4,FALSE)),0,VLOOKUP(I28,'Efficiency Lookup'!$D$2:$G$35,4,FALSE))</f>
        <v>0.6</v>
      </c>
      <c r="AW28" s="133">
        <f>$V28*AV28</f>
        <v>6491.7920076047994</v>
      </c>
      <c r="AX28" s="135">
        <f>IF(X28="RR",IF((0.0326*(AA28^5)-0.2806*(AA28^4)+0.9816*(AA28^3)-1.8039*(AA28^2)+1.8292*AA28-0.0098)&gt;0.85,0.85,IF((0.0326*(AA28^5)-0.2806*(AA28^4)+0.9816*(AA28^3)-1.8039*(AA28^2)+1.8292*AA28-0.0098)&lt;0,0,(0.0326*(AA28^5)-0.2806*(AA28^4)+0.9816*(AA28^3)-1.8039*(AA28^2)+1.8292*AA28-0.0098))),IF((0.0304*(AA28^5)-0.2619*(AA28^4)+0.9161*(AA28^3)-1.6837*(AA28^2)+1.7072*AA28-0.0091)&gt;0.8,0.8,IF((0.0304*(AA28^5)-0.2619*(AA28^4)+0.9161*(AA28^3)-1.6837*(AA28^2)+1.7072*AA28-0.0091)&lt;0,0,(0.0304*(AA28^5)-0.2619*(AA28^4)+0.9161*(AA28^3)-1.6837*(AA28^2)+1.7072*AA28-0.0091))))</f>
        <v>0.78707751024828376</v>
      </c>
      <c r="AY28" s="144">
        <f>$V28*AX28</f>
        <v>8515.9058173254889</v>
      </c>
      <c r="AZ28" s="400">
        <f>IF(AS28=AP28,AW28,AY28)</f>
        <v>8515.9058173254889</v>
      </c>
      <c r="BA28" s="313">
        <f>AZ28</f>
        <v>8515.9058173254889</v>
      </c>
      <c r="BB28" s="401">
        <f>BA28*AN28</f>
        <v>786.04874195177808</v>
      </c>
      <c r="BC28" s="318">
        <f>AM28</f>
        <v>1.5422912856000011</v>
      </c>
      <c r="BD28" s="318">
        <f>AU28</f>
        <v>4.8451836836280817</v>
      </c>
      <c r="BE28" s="332">
        <f>BB28</f>
        <v>786.04874195177808</v>
      </c>
      <c r="BF28" s="14"/>
      <c r="BG28" t="s">
        <v>287</v>
      </c>
    </row>
    <row r="29" spans="1:59" s="268" customFormat="1" ht="18.600000000000001" customHeight="1" x14ac:dyDescent="0.25">
      <c r="A29" s="269"/>
      <c r="B29" s="278"/>
      <c r="C29" s="278"/>
      <c r="D29" s="278"/>
      <c r="E29" s="262"/>
      <c r="F29" s="262"/>
      <c r="G29" s="262"/>
      <c r="H29" s="263"/>
      <c r="I29" s="263"/>
      <c r="J29" s="262"/>
      <c r="K29" s="271"/>
      <c r="L29" s="271"/>
      <c r="M29" s="271"/>
      <c r="N29" s="271"/>
      <c r="O29" s="273"/>
      <c r="P29" s="273"/>
      <c r="Q29" s="264"/>
      <c r="R29" s="264"/>
      <c r="S29" s="264"/>
      <c r="T29" s="264"/>
      <c r="U29" s="264"/>
      <c r="V29" s="264"/>
      <c r="W29" s="264"/>
      <c r="X29" s="264"/>
      <c r="Y29" s="265"/>
      <c r="Z29" s="265"/>
      <c r="AA29" s="264"/>
      <c r="AB29" s="743" t="s">
        <v>297</v>
      </c>
      <c r="AC29" s="751" t="str">
        <f t="shared" si="1"/>
        <v/>
      </c>
      <c r="AD29" s="303" t="str">
        <f t="shared" si="0"/>
        <v/>
      </c>
      <c r="AE29" s="266"/>
      <c r="AF29" s="266"/>
      <c r="AG29" s="303"/>
      <c r="AH29" s="274"/>
      <c r="AI29" s="303"/>
      <c r="AJ29" s="274"/>
      <c r="AK29" s="328" t="str">
        <f t="shared" si="2"/>
        <v/>
      </c>
      <c r="AO29" s="329"/>
      <c r="AP29" s="303"/>
      <c r="AQ29" s="303"/>
      <c r="AR29" s="303"/>
      <c r="AS29" s="326"/>
      <c r="AU29" s="267"/>
      <c r="AV29" s="329"/>
      <c r="AW29" s="303"/>
      <c r="AX29" s="303"/>
      <c r="AY29" s="285"/>
      <c r="AZ29" s="280"/>
      <c r="BA29" s="264"/>
      <c r="BB29" s="331"/>
      <c r="BE29" s="331"/>
      <c r="BF29" s="277"/>
    </row>
    <row r="30" spans="1:59" ht="18.600000000000001" customHeight="1" x14ac:dyDescent="0.25">
      <c r="A30" s="11" t="s">
        <v>307</v>
      </c>
      <c r="B30" s="11"/>
      <c r="C30" s="11"/>
      <c r="D30" s="1111" t="s">
        <v>271</v>
      </c>
      <c r="E30" s="1065"/>
      <c r="F30" s="1019"/>
      <c r="G30" s="1019"/>
      <c r="H30" s="1021"/>
      <c r="I30" s="1021"/>
      <c r="J30" s="1019"/>
      <c r="K30" s="11">
        <v>38.200000000000003</v>
      </c>
      <c r="L30" s="11"/>
      <c r="M30" s="11">
        <v>0</v>
      </c>
      <c r="N30" s="11">
        <v>11.2</v>
      </c>
      <c r="O30" s="7">
        <f>+M30/K30</f>
        <v>0</v>
      </c>
      <c r="P30" s="7">
        <f>+N30/K30</f>
        <v>0.29319371727748689</v>
      </c>
      <c r="Q30" s="8">
        <f>43*0.9*(0.05+0.9*0.16)*0.26*$K30*2.72/12</f>
        <v>16.901959776000002</v>
      </c>
      <c r="R30" s="39">
        <f>43*0.9*(0.05+0.9*O30)*0.26*$K30*2.72/12</f>
        <v>4.3561752000000018</v>
      </c>
      <c r="S30" s="8">
        <f>IF(J30="R",R30,Q30)</f>
        <v>16.901959776000002</v>
      </c>
      <c r="T30" s="8">
        <f>43*0.9*(0.05+0.9*P30)*0.26*$K30*2.72/12</f>
        <v>27.345832800000007</v>
      </c>
      <c r="U30" s="8">
        <f>T30*5.2</f>
        <v>142.19833056000004</v>
      </c>
      <c r="V30" s="8">
        <f>T30*420.9</f>
        <v>11509.861025520002</v>
      </c>
      <c r="W30" s="8">
        <f>IF(P30 &lt; 16%, 0, IF(K30 &lt; 1, 0, T30-S30))</f>
        <v>10.443873024000006</v>
      </c>
      <c r="X30" s="8"/>
      <c r="Y30" s="257"/>
      <c r="Z30" s="257"/>
      <c r="AA30" s="8"/>
      <c r="AB30" s="744" t="s">
        <v>297</v>
      </c>
      <c r="AC30" s="750" t="str">
        <f t="shared" si="1"/>
        <v/>
      </c>
      <c r="AD30" s="39" t="str">
        <f t="shared" si="0"/>
        <v/>
      </c>
      <c r="AE30" s="34"/>
      <c r="AF30" s="34"/>
      <c r="AG30" s="39"/>
      <c r="AH30" s="133"/>
      <c r="AI30" s="39"/>
      <c r="AJ30" s="133"/>
      <c r="AK30" s="327" t="str">
        <f t="shared" si="2"/>
        <v/>
      </c>
      <c r="AO30" s="589"/>
      <c r="AP30" s="39"/>
      <c r="AQ30" s="39"/>
      <c r="AR30" s="39"/>
      <c r="AS30" s="306"/>
      <c r="AU30" s="28"/>
      <c r="AV30" s="589"/>
      <c r="AW30" s="39"/>
      <c r="AX30" s="39"/>
      <c r="AY30" s="136"/>
      <c r="AZ30" s="146"/>
      <c r="BA30" s="8"/>
      <c r="BB30" s="143"/>
      <c r="BE30" s="143"/>
      <c r="BF30" s="14" t="s">
        <v>308</v>
      </c>
      <c r="BG30" t="s">
        <v>300</v>
      </c>
    </row>
    <row r="31" spans="1:59" ht="18.600000000000001" customHeight="1" x14ac:dyDescent="0.25">
      <c r="A31" s="10" t="s">
        <v>309</v>
      </c>
      <c r="B31" s="11">
        <v>-78.458713000000003</v>
      </c>
      <c r="C31" s="11">
        <v>38.071052999999999</v>
      </c>
      <c r="D31" s="13">
        <v>450.03</v>
      </c>
      <c r="E31" s="1048" t="s">
        <v>274</v>
      </c>
      <c r="F31" s="1048" t="s">
        <v>310</v>
      </c>
      <c r="G31" s="1048"/>
      <c r="H31" s="1021" t="s">
        <v>276</v>
      </c>
      <c r="I31" s="1021" t="s">
        <v>277</v>
      </c>
      <c r="J31" s="1048"/>
      <c r="K31" s="11">
        <v>14.4</v>
      </c>
      <c r="L31" s="11"/>
      <c r="M31" s="11">
        <v>0</v>
      </c>
      <c r="N31" s="11">
        <v>4.24</v>
      </c>
      <c r="O31" s="25">
        <f>+M31/K31</f>
        <v>0</v>
      </c>
      <c r="P31" s="25">
        <f>+N31/K31</f>
        <v>0.29444444444444445</v>
      </c>
      <c r="Q31" s="8"/>
      <c r="R31" s="8"/>
      <c r="S31" s="8"/>
      <c r="T31" s="8">
        <f>IF(J30="TT",IF(F30="u/g detention",(43*0.9*(0.05+0.9*P31)*0.26*$K31*2.72/12)-AK29,(43*0.9*(0.05+0.9*P31)*0.26*$K31*2.72/12)-AK30),43*0.9*(0.05+0.9*P31)*0.26*$K31*2.72/12)</f>
        <v>10.345345920000002</v>
      </c>
      <c r="U31" s="8">
        <f>T31*5.2</f>
        <v>53.795798784000013</v>
      </c>
      <c r="V31" s="8">
        <f>T31*420.9</f>
        <v>4354.3560977280003</v>
      </c>
      <c r="W31" s="8"/>
      <c r="X31" s="34" t="s">
        <v>278</v>
      </c>
      <c r="Y31" s="257">
        <v>70400</v>
      </c>
      <c r="Z31" s="257">
        <v>4.24</v>
      </c>
      <c r="AA31" s="258">
        <f>IF(Y31="NA", 0, (Y31/43560)*12/Z31)</f>
        <v>4.5740423098913663</v>
      </c>
      <c r="AB31" s="742" t="s">
        <v>311</v>
      </c>
      <c r="AC31" s="134" t="str">
        <f t="shared" si="1"/>
        <v>NA</v>
      </c>
      <c r="AD31" s="741">
        <f t="shared" si="0"/>
        <v>0</v>
      </c>
      <c r="AE31" s="135">
        <f>IF(ISNA(VLOOKUP(H31,'Efficiency Lookup'!$B$2:$C$38,2,FALSE)),0,(VLOOKUP(H31,'Efficiency Lookup'!$B$2:$C$38,2,FALSE)))</f>
        <v>0.65</v>
      </c>
      <c r="AF31" s="34">
        <f>T31*AE31</f>
        <v>6.7244748480000016</v>
      </c>
      <c r="AG31" s="134">
        <f>IF(ISNA(VLOOKUP(I31,'Efficiency Lookup'!$D$2:$E$35,2,FALSE)),0,VLOOKUP(I31,'Efficiency Lookup'!$D$2:$E$35,2,FALSE))</f>
        <v>0.45</v>
      </c>
      <c r="AH31" s="133">
        <f>T31*AG31</f>
        <v>4.6554056640000008</v>
      </c>
      <c r="AI31" s="132">
        <f>IF(X31="RR",IF((0.0304*(AA31^5)-0.2619*(AA31^4)+0.9161*(AA31^3)-1.6837*(AA31^2)+1.7072*AA31-0.0091)&gt;0.85,0.85,IF((0.0304*(AA31^5)-0.2619*(AA31^4)+0.9161*(AA31^3)-1.6837*(AA31^2)+1.7072*AA31-0.0091)&lt;0,0,(0.0304*(AA31^5)-0.2619*(AA31^4)+0.9161*(AA31^3)-1.6837*(AA31^2)+1.7072*AA31-0.0091))),IF((0.0239*(AA31^5)-0.2058*(AA31^4)+0.7198*(AA31^3)-1.3229*(AA31^2)+1.3414*AA31-0.0072)&gt;0.65,0.65,IF((0.0239*(AA31^5)-0.2058*(AA31^4)+0.7198*(AA31^3)-1.3229*(AA31^2)+1.3414*AA31-0.0072)&lt;0,0,(0.0239*(AA31^5)-0.2058*(AA31^4)+0.7198*(AA31^3)-1.3229*(AA31^2)+1.3414*AA31-0.0072))))</f>
        <v>0.65</v>
      </c>
      <c r="AJ31" s="133">
        <f>T31*AI31</f>
        <v>6.7244748480000016</v>
      </c>
      <c r="AK31" s="516">
        <f t="shared" si="2"/>
        <v>6.7244748480000016</v>
      </c>
      <c r="AL31" s="1100">
        <f>SUM(AK31:AK33)</f>
        <v>21.553283515196441</v>
      </c>
      <c r="AM31" s="1100">
        <f>AL31-W30</f>
        <v>11.109410491196435</v>
      </c>
      <c r="AN31" s="1112">
        <f>AM31/AL31</f>
        <v>0.5154393521230114</v>
      </c>
      <c r="AO31" s="138">
        <f>IF(ISNA(VLOOKUP(I31,'Efficiency Lookup'!$D$2:$G$35,3,FALSE)),0,VLOOKUP(I31,'Efficiency Lookup'!$D$2:$G$35,3,FALSE))</f>
        <v>0.2</v>
      </c>
      <c r="AP31" s="133">
        <f>U31*AO31</f>
        <v>10.759159756800003</v>
      </c>
      <c r="AQ31" s="135">
        <f>IF(X31="RR",IF((0.0308*(AA31^5)-0.2562*(AA31^4)+0.8634*(AA31^3)-1.5285*(AA31^2)+1.501*AA31-0.013)&gt;0.7,0.7,IF((0.0308*(AA31^5)-0.2562*(AA31^4)+0.8634*(AA31^3)-1.5285*(AA31^2)+1.501*AA31-0.013)&lt;0,0,(0.0308*(AA31^5)-0.2562*(AA31^4)+0.8634*(AA31^3)-1.5285*(AA31^2)+1.501*AA31-0.013))),IF((0.0152*(AA31^5)-0.131*(AA31^4)+0.4581*(AA31^3)-0.8418*(AA31^2)+0.8536*AA31-0.0046)&gt;0.65,0.65,IF((0.0152*(AA31^5)-0.131*(AA31^4)+0.4581*(AA31^3)-0.8418*(AA31^2)+0.8536*AA31-0.0046)&lt;0,0,(0.0152*(AA31^5)-0.131*(AA31^4)+0.4581*(AA31^3)-0.8418*(AA31^2)+0.8536*AA31-0.0046))))</f>
        <v>0.65</v>
      </c>
      <c r="AR31" s="34">
        <f>U31*AQ31</f>
        <v>34.967269209600012</v>
      </c>
      <c r="AS31" s="400">
        <f>IF(AK31=AF31,MAX(AP31,AR31),IF(AK31=AH31,AP31,AR31))</f>
        <v>34.967269209600012</v>
      </c>
      <c r="AT31" s="1100">
        <f>SUM(AS31:AS33)</f>
        <v>105.10970457450229</v>
      </c>
      <c r="AU31" s="1104">
        <f>AT31*AN31</f>
        <v>54.177678027722585</v>
      </c>
      <c r="AV31" s="138">
        <f>IF(ISNA(VLOOKUP(I31,'Efficiency Lookup'!$D$2:$G$35,4,FALSE)),0,VLOOKUP(I31,'Efficiency Lookup'!$D$2:$G$35,4,FALSE))</f>
        <v>0.6</v>
      </c>
      <c r="AW31" s="133">
        <f>$V31*AV31</f>
        <v>2612.6136586368002</v>
      </c>
      <c r="AX31" s="135">
        <f>IF(X31="RR",IF((0.0326*(AA31^5)-0.2806*(AA31^4)+0.9816*(AA31^3)-1.8039*(AA31^2)+1.8292*AA31-0.0098)&gt;0.85,0.85,IF((0.0326*(AA31^5)-0.2806*(AA31^4)+0.9816*(AA31^3)-1.8039*(AA31^2)+1.8292*AA31-0.0098)&lt;0,0,(0.0326*(AA31^5)-0.2806*(AA31^4)+0.9816*(AA31^3)-1.8039*(AA31^2)+1.8292*AA31-0.0098))),IF((0.0304*(AA31^5)-0.2619*(AA31^4)+0.9161*(AA31^3)-1.6837*(AA31^2)+1.7072*AA31-0.0091)&gt;0.8,0.8,IF((0.0304*(AA31^5)-0.2619*(AA31^4)+0.9161*(AA31^3)-1.6837*(AA31^2)+1.7072*AA31-0.0091)&lt;0,0,(0.0304*(AA31^5)-0.2619*(AA31^4)+0.9161*(AA31^3)-1.6837*(AA31^2)+1.7072*AA31-0.0091))))</f>
        <v>0.8</v>
      </c>
      <c r="AY31" s="144">
        <f>$V31*AX31</f>
        <v>3483.4848781824003</v>
      </c>
      <c r="AZ31" s="400">
        <f>IF(AS31=AP31,AW31,AY31)</f>
        <v>3483.4848781824003</v>
      </c>
      <c r="BA31" s="1100">
        <f>SUM(AZ31:AZ33)</f>
        <v>10548.743812277484</v>
      </c>
      <c r="BB31" s="1104">
        <f>BA31*AN31</f>
        <v>5437.2376763119319</v>
      </c>
      <c r="BC31" s="1105">
        <f>AM31</f>
        <v>11.109410491196435</v>
      </c>
      <c r="BD31" s="1106">
        <f>AU31</f>
        <v>54.177678027722585</v>
      </c>
      <c r="BE31" s="1107">
        <f>BB31</f>
        <v>5437.2376763119319</v>
      </c>
      <c r="BF31" s="14"/>
      <c r="BG31" t="s">
        <v>287</v>
      </c>
    </row>
    <row r="32" spans="1:59" ht="18.600000000000001" customHeight="1" x14ac:dyDescent="0.25">
      <c r="A32" s="10" t="s">
        <v>312</v>
      </c>
      <c r="B32" s="11">
        <v>-78.456902999999997</v>
      </c>
      <c r="C32" s="11">
        <v>38.072082000000002</v>
      </c>
      <c r="D32" s="13">
        <v>450.01</v>
      </c>
      <c r="E32" s="1048" t="s">
        <v>274</v>
      </c>
      <c r="F32" s="1048" t="s">
        <v>310</v>
      </c>
      <c r="G32" s="1048"/>
      <c r="H32" s="1021" t="s">
        <v>276</v>
      </c>
      <c r="I32" s="1021" t="s">
        <v>277</v>
      </c>
      <c r="J32" s="1048"/>
      <c r="K32" s="11">
        <v>10.1</v>
      </c>
      <c r="L32" s="11"/>
      <c r="M32" s="11">
        <v>0</v>
      </c>
      <c r="N32" s="11">
        <v>3.6</v>
      </c>
      <c r="O32" s="25">
        <f>+M32/K32</f>
        <v>0</v>
      </c>
      <c r="P32" s="25">
        <f>+N32/K32</f>
        <v>0.35643564356435647</v>
      </c>
      <c r="Q32" s="8"/>
      <c r="R32" s="8"/>
      <c r="S32" s="8"/>
      <c r="T32" s="8">
        <f>IF(J31="TT",IF(F31="u/g detention",(43*0.9*(0.05+0.9*P32)*0.26*$K32*2.72/12)-AK30,(43*0.9*(0.05+0.9*P32)*0.26*$K32*2.72/12)-AK31),43*0.9*(0.05+0.9*P32)*0.26*$K32*2.72/12)</f>
        <v>8.541296400000002</v>
      </c>
      <c r="U32" s="8">
        <f>T32*5.2</f>
        <v>44.414741280000015</v>
      </c>
      <c r="V32" s="8">
        <f>T32*420.9</f>
        <v>3595.0316547600005</v>
      </c>
      <c r="W32" s="8"/>
      <c r="X32" s="34" t="s">
        <v>278</v>
      </c>
      <c r="Y32" s="257">
        <v>56300</v>
      </c>
      <c r="Z32" s="257">
        <v>3.6</v>
      </c>
      <c r="AA32" s="258">
        <f>IF(Y32="NA", 0, (Y32/43560)*12/Z32)</f>
        <v>4.3082338536883995</v>
      </c>
      <c r="AB32" s="742" t="s">
        <v>296</v>
      </c>
      <c r="AC32" s="134" t="str">
        <f t="shared" si="1"/>
        <v>NA</v>
      </c>
      <c r="AD32" s="741">
        <f t="shared" si="0"/>
        <v>0</v>
      </c>
      <c r="AE32" s="135">
        <f>IF(ISNA(VLOOKUP(H32,'Efficiency Lookup'!$B$2:$C$38,2,FALSE)),0,(VLOOKUP(H32,'Efficiency Lookup'!$B$2:$C$38,2,FALSE)))</f>
        <v>0.65</v>
      </c>
      <c r="AF32" s="34">
        <f>T32*AE32</f>
        <v>5.5518426600000019</v>
      </c>
      <c r="AG32" s="134">
        <f>IF(ISNA(VLOOKUP(I32,'Efficiency Lookup'!$D$2:$E$35,2,FALSE)),0,VLOOKUP(I32,'Efficiency Lookup'!$D$2:$E$35,2,FALSE))</f>
        <v>0.45</v>
      </c>
      <c r="AH32" s="133">
        <f>T32*AG32</f>
        <v>3.843583380000001</v>
      </c>
      <c r="AI32" s="132">
        <f>IF(X32="RR",IF((0.0304*(AA32^5)-0.2619*(AA32^4)+0.9161*(AA32^3)-1.6837*(AA32^2)+1.7072*AA32-0.0091)&gt;0.85,0.85,IF((0.0304*(AA32^5)-0.2619*(AA32^4)+0.9161*(AA32^3)-1.6837*(AA32^2)+1.7072*AA32-0.0091)&lt;0,0,(0.0304*(AA32^5)-0.2619*(AA32^4)+0.9161*(AA32^3)-1.6837*(AA32^2)+1.7072*AA32-0.0091))),IF((0.0239*(AA32^5)-0.2058*(AA32^4)+0.7198*(AA32^3)-1.3229*(AA32^2)+1.3414*AA32-0.0072)&gt;0.65,0.65,IF((0.0239*(AA32^5)-0.2058*(AA32^4)+0.7198*(AA32^3)-1.3229*(AA32^2)+1.3414*AA32-0.0072)&lt;0,0,(0.0239*(AA32^5)-0.2058*(AA32^4)+0.7198*(AA32^3)-1.3229*(AA32^2)+1.3414*AA32-0.0072))))</f>
        <v>0.65</v>
      </c>
      <c r="AJ32" s="133">
        <f>T32*AI32</f>
        <v>5.5518426600000019</v>
      </c>
      <c r="AK32" s="516">
        <f t="shared" si="2"/>
        <v>5.5518426600000019</v>
      </c>
      <c r="AL32" s="1100"/>
      <c r="AM32" s="1100"/>
      <c r="AN32" s="1112"/>
      <c r="AO32" s="138">
        <f>IF(ISNA(VLOOKUP(I32,'Efficiency Lookup'!$D$2:$G$35,3,FALSE)),0,VLOOKUP(I32,'Efficiency Lookup'!$D$2:$G$35,3,FALSE))</f>
        <v>0.2</v>
      </c>
      <c r="AP32" s="133">
        <f>U32*AO32</f>
        <v>8.8829482560000042</v>
      </c>
      <c r="AQ32" s="135">
        <f>IF(X32="RR",IF((0.0308*(AA32^5)-0.2562*(AA32^4)+0.8634*(AA32^3)-1.5285*(AA32^2)+1.501*AA32-0.013)&gt;0.7,0.7,IF((0.0308*(AA32^5)-0.2562*(AA32^4)+0.8634*(AA32^3)-1.5285*(AA32^2)+1.501*AA32-0.013)&lt;0,0,(0.0308*(AA32^5)-0.2562*(AA32^4)+0.8634*(AA32^3)-1.5285*(AA32^2)+1.501*AA32-0.013))),IF((0.0152*(AA32^5)-0.131*(AA32^4)+0.4581*(AA32^3)-0.8418*(AA32^2)+0.8536*AA32-0.0046)&gt;0.65,0.65,IF((0.0152*(AA32^5)-0.131*(AA32^4)+0.4581*(AA32^3)-0.8418*(AA32^2)+0.8536*AA32-0.0046)&lt;0,0,(0.0152*(AA32^5)-0.131*(AA32^4)+0.4581*(AA32^3)-0.8418*(AA32^2)+0.8536*AA32-0.0046))))</f>
        <v>0.65</v>
      </c>
      <c r="AR32" s="34">
        <f>U32*AQ32</f>
        <v>28.869581832000012</v>
      </c>
      <c r="AS32" s="400">
        <f>IF(AK32=AF32,MAX(AP32,AR32),IF(AK32=AH32,AP32,AR32))</f>
        <v>28.869581832000012</v>
      </c>
      <c r="AT32" s="1100"/>
      <c r="AU32" s="1104"/>
      <c r="AV32" s="138">
        <f>IF(ISNA(VLOOKUP(I32,'Efficiency Lookup'!$D$2:$G$35,4,FALSE)),0,VLOOKUP(I32,'Efficiency Lookup'!$D$2:$G$35,4,FALSE))</f>
        <v>0.6</v>
      </c>
      <c r="AW32" s="133">
        <f>$V32*AV32</f>
        <v>2157.0189928560003</v>
      </c>
      <c r="AX32" s="135">
        <f>IF(X32="RR",IF((0.0326*(AA32^5)-0.2806*(AA32^4)+0.9816*(AA32^3)-1.8039*(AA32^2)+1.8292*AA32-0.0098)&gt;0.85,0.85,IF((0.0326*(AA32^5)-0.2806*(AA32^4)+0.9816*(AA32^3)-1.8039*(AA32^2)+1.8292*AA32-0.0098)&lt;0,0,(0.0326*(AA32^5)-0.2806*(AA32^4)+0.9816*(AA32^3)-1.8039*(AA32^2)+1.8292*AA32-0.0098))),IF((0.0304*(AA32^5)-0.2619*(AA32^4)+0.9161*(AA32^3)-1.6837*(AA32^2)+1.7072*AA32-0.0091)&gt;0.8,0.8,IF((0.0304*(AA32^5)-0.2619*(AA32^4)+0.9161*(AA32^3)-1.6837*(AA32^2)+1.7072*AA32-0.0091)&lt;0,0,(0.0304*(AA32^5)-0.2619*(AA32^4)+0.9161*(AA32^3)-1.6837*(AA32^2)+1.7072*AA32-0.0091))))</f>
        <v>0.8</v>
      </c>
      <c r="AY32" s="144">
        <f>$V32*AX32</f>
        <v>2876.0253238080004</v>
      </c>
      <c r="AZ32" s="400">
        <f>IF(AS32=AP32,AW32,AY32)</f>
        <v>2876.0253238080004</v>
      </c>
      <c r="BA32" s="1100"/>
      <c r="BB32" s="1104"/>
      <c r="BC32" s="1105"/>
      <c r="BD32" s="1106"/>
      <c r="BE32" s="1107"/>
      <c r="BF32" s="14"/>
      <c r="BG32" t="s">
        <v>313</v>
      </c>
    </row>
    <row r="33" spans="1:59" ht="18.600000000000001" customHeight="1" x14ac:dyDescent="0.25">
      <c r="A33" s="10" t="s">
        <v>314</v>
      </c>
      <c r="B33" s="11">
        <v>-78.459866000000005</v>
      </c>
      <c r="C33" s="11">
        <v>38.074126</v>
      </c>
      <c r="D33" s="13">
        <v>450.02</v>
      </c>
      <c r="E33" s="1048" t="s">
        <v>281</v>
      </c>
      <c r="F33" s="1048" t="s">
        <v>295</v>
      </c>
      <c r="G33" s="1048"/>
      <c r="H33" s="1021" t="s">
        <v>283</v>
      </c>
      <c r="I33" s="1021" t="s">
        <v>315</v>
      </c>
      <c r="J33" s="1048"/>
      <c r="K33" s="11">
        <v>10.55</v>
      </c>
      <c r="L33" s="11"/>
      <c r="M33" s="11">
        <v>0</v>
      </c>
      <c r="N33" s="11">
        <v>5.25</v>
      </c>
      <c r="O33" s="25">
        <f>+M33/K33</f>
        <v>0</v>
      </c>
      <c r="P33" s="25">
        <f>+N33/K33</f>
        <v>0.49763033175355448</v>
      </c>
      <c r="Q33" s="8"/>
      <c r="R33" s="8"/>
      <c r="S33" s="8"/>
      <c r="T33" s="8">
        <f>IF(J32="TT",IF(F32="u/g detention",(43*0.9*(0.05+0.9*P33)*0.26*$K33*2.72/12)-AK31,(43*0.9*(0.05+0.9*P33)*0.26*$K33*2.72/12)-AK32),43*0.9*(0.05+0.9*P33)*0.26*$K33*2.72/12)</f>
        <v>11.979481800000002</v>
      </c>
      <c r="U33" s="8">
        <f>T33*5.2</f>
        <v>62.293305360000012</v>
      </c>
      <c r="V33" s="8">
        <f>T33*420.9</f>
        <v>5042.1638896200002</v>
      </c>
      <c r="W33" s="8"/>
      <c r="X33" s="34" t="s">
        <v>285</v>
      </c>
      <c r="Y33" s="257">
        <v>33301</v>
      </c>
      <c r="Z33" s="257">
        <v>5.25</v>
      </c>
      <c r="AA33" s="258">
        <f>IF(Y33="NA", 0, (Y33/43560)*12/Z33)</f>
        <v>1.747396038305129</v>
      </c>
      <c r="AB33" s="742" t="s">
        <v>296</v>
      </c>
      <c r="AC33" s="134" t="str">
        <f t="shared" si="1"/>
        <v>NA</v>
      </c>
      <c r="AD33" s="741">
        <f t="shared" si="0"/>
        <v>0</v>
      </c>
      <c r="AE33" s="134">
        <f>IF(ISNA(VLOOKUP(H33,'Efficiency Lookup'!$B$2:$C$38,2,FALSE)),0,(VLOOKUP(H33,'Efficiency Lookup'!$B$2:$C$38,2,FALSE)))</f>
        <v>0.65</v>
      </c>
      <c r="AF33" s="133">
        <f>T33*AE33</f>
        <v>7.7866631700000015</v>
      </c>
      <c r="AG33" s="134">
        <f>IF(ISNA(VLOOKUP(I33,'Efficiency Lookup'!$D$2:$E$35,2,FALSE)),0,VLOOKUP(I33,'Efficiency Lookup'!$D$2:$E$35,2,FALSE))</f>
        <v>0.75</v>
      </c>
      <c r="AH33" s="133">
        <f>T33*AG33</f>
        <v>8.9846113500000016</v>
      </c>
      <c r="AI33" s="443">
        <f>IF(X33="RR",IF((0.0304*(AA33^5)-0.2619*(AA33^4)+0.9161*(AA33^3)-1.6837*(AA33^2)+1.7072*AA33-0.0091)&gt;0.85,0.85,IF((0.0304*(AA33^5)-0.2619*(AA33^4)+0.9161*(AA33^3)-1.6837*(AA33^2)+1.7072*AA33-0.0091)&lt;0,0,(0.0304*(AA33^5)-0.2619*(AA33^4)+0.9161*(AA33^3)-1.6837*(AA33^2)+1.7072*AA33-0.0091))),IF((0.0239*(AA33^5)-0.2058*(AA33^4)+0.7198*(AA33^3)-1.3229*(AA33^2)+1.3414*AA33-0.0072)&gt;0.65,0.65,IF((0.0239*(AA33^5)-0.2058*(AA33^4)+0.7198*(AA33^3)-1.3229*(AA33^2)+1.3414*AA33-0.0072)&lt;0,0,(0.0239*(AA33^5)-0.2058*(AA33^4)+0.7198*(AA33^3)-1.3229*(AA33^2)+1.3414*AA33-0.0072))))</f>
        <v>0.77440461633294</v>
      </c>
      <c r="AJ33" s="313">
        <f>T33*AI33</f>
        <v>9.2769660071964388</v>
      </c>
      <c r="AK33" s="516">
        <f t="shared" si="2"/>
        <v>9.2769660071964388</v>
      </c>
      <c r="AL33" s="1100"/>
      <c r="AM33" s="1100"/>
      <c r="AN33" s="1112"/>
      <c r="AO33" s="138">
        <f>IF(ISNA(VLOOKUP(I33,'Efficiency Lookup'!$D$2:$G$35,3,FALSE)),0,VLOOKUP(I33,'Efficiency Lookup'!$D$2:$G$35,3,FALSE))</f>
        <v>0.7</v>
      </c>
      <c r="AP33" s="133">
        <f>U33*AO33</f>
        <v>43.605313752000008</v>
      </c>
      <c r="AQ33" s="135">
        <f>IF(X33="RR",IF((0.0308*(AA33^5)-0.2562*(AA33^4)+0.8634*(AA33^3)-1.5285*(AA33^2)+1.501*AA33-0.013)&gt;0.7,0.7,IF((0.0308*(AA33^5)-0.2562*(AA33^4)+0.8634*(AA33^3)-1.5285*(AA33^2)+1.501*AA33-0.013)&lt;0,0,(0.0308*(AA33^5)-0.2562*(AA33^4)+0.8634*(AA33^3)-1.5285*(AA33^2)+1.501*AA33-0.013))),IF((0.0152*(AA33^5)-0.131*(AA33^4)+0.4581*(AA33^3)-0.8418*(AA33^2)+0.8536*AA33-0.0046)&gt;0.65,0.65,IF((0.0152*(AA33^5)-0.131*(AA33^4)+0.4581*(AA33^3)-0.8418*(AA33^2)+0.8536*AA33-0.0046)&lt;0,0,(0.0152*(AA33^5)-0.131*(AA33^4)+0.4581*(AA33^3)-0.8418*(AA33^2)+0.8536*AA33-0.0046))))</f>
        <v>0.66255680757959146</v>
      </c>
      <c r="AR33" s="34">
        <f>U33*AQ33</f>
        <v>41.272853532902261</v>
      </c>
      <c r="AS33" s="400">
        <f>IF(AK33=AF33,MAX(AP33,AR33),IF(AK33=AH33,AP33,AR33))</f>
        <v>41.272853532902261</v>
      </c>
      <c r="AT33" s="1100"/>
      <c r="AU33" s="1104"/>
      <c r="AV33" s="138">
        <f>IF(ISNA(VLOOKUP(I33,'Efficiency Lookup'!$D$2:$G$35,4,FALSE)),0,VLOOKUP(I33,'Efficiency Lookup'!$D$2:$G$35,4,FALSE))</f>
        <v>0.8</v>
      </c>
      <c r="AW33" s="133">
        <f>$V33*AV33</f>
        <v>4033.7311116960004</v>
      </c>
      <c r="AX33" s="135">
        <f>IF(X33="RR",IF((0.0326*(AA33^5)-0.2806*(AA33^4)+0.9816*(AA33^3)-1.8039*(AA33^2)+1.8292*AA33-0.0098)&gt;0.85,0.85,IF((0.0326*(AA33^5)-0.2806*(AA33^4)+0.9816*(AA33^3)-1.8039*(AA33^2)+1.8292*AA33-0.0098)&lt;0,0,(0.0326*(AA33^5)-0.2806*(AA33^4)+0.9816*(AA33^3)-1.8039*(AA33^2)+1.8292*AA33-0.0098))),IF((0.0304*(AA33^5)-0.2619*(AA33^4)+0.9161*(AA33^3)-1.6837*(AA33^2)+1.7072*AA33-0.0091)&gt;0.8,0.8,IF((0.0304*(AA33^5)-0.2619*(AA33^4)+0.9161*(AA33^3)-1.6837*(AA33^2)+1.7072*AA33-0.0091)&lt;0,0,(0.0304*(AA33^5)-0.2619*(AA33^4)+0.9161*(AA33^3)-1.6837*(AA33^2)+1.7072*AA33-0.0091))))</f>
        <v>0.83084042922746071</v>
      </c>
      <c r="AY33" s="144">
        <f>$V33*AX33</f>
        <v>4189.233610287084</v>
      </c>
      <c r="AZ33" s="400">
        <f>IF(AS33=AP33,AW33,AY33)</f>
        <v>4189.233610287084</v>
      </c>
      <c r="BA33" s="1100"/>
      <c r="BB33" s="1104"/>
      <c r="BC33" s="1105"/>
      <c r="BD33" s="1106"/>
      <c r="BE33" s="1107"/>
      <c r="BF33" s="14"/>
      <c r="BG33" t="s">
        <v>287</v>
      </c>
    </row>
    <row r="34" spans="1:59" s="268" customFormat="1" ht="18.600000000000001" customHeight="1" x14ac:dyDescent="0.25">
      <c r="B34" s="271"/>
      <c r="C34" s="271"/>
      <c r="G34" s="277"/>
      <c r="H34" s="263"/>
      <c r="I34" s="263"/>
      <c r="Q34" s="264"/>
      <c r="S34" s="264"/>
      <c r="T34" s="264"/>
      <c r="U34" s="264"/>
      <c r="V34" s="264"/>
      <c r="W34" s="264"/>
      <c r="X34" s="264"/>
      <c r="Y34" s="265"/>
      <c r="Z34" s="265"/>
      <c r="AA34" s="264"/>
      <c r="AB34" s="743" t="s">
        <v>297</v>
      </c>
      <c r="AC34" s="751" t="str">
        <f t="shared" si="1"/>
        <v/>
      </c>
      <c r="AD34" s="303" t="str">
        <f t="shared" si="0"/>
        <v/>
      </c>
      <c r="AE34" s="274"/>
      <c r="AF34" s="266"/>
      <c r="AG34" s="274"/>
      <c r="AH34" s="274"/>
      <c r="AI34" s="274"/>
      <c r="AJ34" s="274"/>
      <c r="AK34" s="280" t="str">
        <f t="shared" si="2"/>
        <v/>
      </c>
      <c r="AO34" s="325"/>
      <c r="AP34" s="274"/>
      <c r="AQ34" s="274"/>
      <c r="AR34" s="274"/>
      <c r="AS34" s="326"/>
      <c r="AU34" s="279"/>
      <c r="AV34" s="325"/>
      <c r="AW34" s="274"/>
      <c r="AX34" s="274"/>
      <c r="AY34" s="275"/>
      <c r="AZ34" s="326"/>
      <c r="BB34" s="331"/>
      <c r="BE34" s="331"/>
      <c r="BF34" s="277"/>
    </row>
    <row r="35" spans="1:59" s="349" customFormat="1" ht="18.600000000000001" customHeight="1" x14ac:dyDescent="0.25">
      <c r="A35" s="339" t="s">
        <v>316</v>
      </c>
      <c r="B35" s="339"/>
      <c r="C35" s="339"/>
      <c r="D35" s="1110" t="s">
        <v>271</v>
      </c>
      <c r="E35" s="1125"/>
      <c r="F35" s="1038"/>
      <c r="G35" s="1038"/>
      <c r="H35" s="341"/>
      <c r="I35" s="1038"/>
      <c r="K35" s="340">
        <v>16.3</v>
      </c>
      <c r="L35" s="340"/>
      <c r="M35" s="340">
        <v>0</v>
      </c>
      <c r="N35" s="342">
        <v>4.4400000000000004</v>
      </c>
      <c r="O35" s="343">
        <f>+M35/K35</f>
        <v>0</v>
      </c>
      <c r="P35" s="343">
        <f>+N35/K35</f>
        <v>0.27239263803680985</v>
      </c>
      <c r="Q35" s="344">
        <f>43*0.9*(0.05+0.9*0.16)*0.26*$K35*2.72/12</f>
        <v>7.212092784000002</v>
      </c>
      <c r="R35" s="366">
        <f>43*0.9*(0.05+0.9*O35)*0.26*$K35*2.72/12</f>
        <v>1.8587868000000007</v>
      </c>
      <c r="S35" s="344">
        <f>IF(J35="R",R35,Q35)</f>
        <v>7.212092784000002</v>
      </c>
      <c r="T35" s="344">
        <f>43*0.9*(0.05+0.9*P35)*0.26*$K35*2.72/12</f>
        <v>10.972543920000001</v>
      </c>
      <c r="U35" s="344"/>
      <c r="V35" s="344"/>
      <c r="W35" s="344">
        <f>IF(P35 &lt; 16%, 0, IF(K35 &lt; 1, 0, T35-S35))</f>
        <v>3.7604511359999995</v>
      </c>
      <c r="X35" s="344"/>
      <c r="Y35" s="345"/>
      <c r="Z35" s="345"/>
      <c r="AA35" s="369"/>
      <c r="AB35" s="745" t="s">
        <v>297</v>
      </c>
      <c r="AC35" s="752" t="str">
        <f t="shared" si="1"/>
        <v/>
      </c>
      <c r="AD35" s="366" t="str">
        <f t="shared" si="0"/>
        <v/>
      </c>
      <c r="AE35" s="347"/>
      <c r="AF35" s="348"/>
      <c r="AG35" s="347"/>
      <c r="AH35" s="347"/>
      <c r="AI35" s="347"/>
      <c r="AJ35" s="347"/>
      <c r="AK35" s="363" t="str">
        <f t="shared" si="2"/>
        <v/>
      </c>
      <c r="AO35" s="346"/>
      <c r="AP35" s="347"/>
      <c r="AQ35" s="347"/>
      <c r="AR35" s="347"/>
      <c r="AS35" s="1049"/>
      <c r="AU35" s="350"/>
      <c r="AV35" s="346"/>
      <c r="AW35" s="347"/>
      <c r="AX35" s="347"/>
      <c r="AY35" s="360"/>
      <c r="AZ35" s="1049"/>
      <c r="BB35" s="352"/>
      <c r="BE35" s="352"/>
      <c r="BF35" s="1035"/>
      <c r="BG35" s="349" t="s">
        <v>317</v>
      </c>
    </row>
    <row r="36" spans="1:59" s="349" customFormat="1" ht="18.600000000000001" customHeight="1" x14ac:dyDescent="0.25">
      <c r="A36" s="339"/>
      <c r="B36" s="340">
        <v>-78.453507000000002</v>
      </c>
      <c r="C36" s="340">
        <v>38.074567000000002</v>
      </c>
      <c r="D36" s="663">
        <v>1</v>
      </c>
      <c r="E36" s="354" t="s">
        <v>274</v>
      </c>
      <c r="F36" s="354" t="s">
        <v>275</v>
      </c>
      <c r="G36" s="354"/>
      <c r="H36" s="341" t="s">
        <v>276</v>
      </c>
      <c r="I36" s="341" t="s">
        <v>277</v>
      </c>
      <c r="K36" s="340">
        <v>20.010000000000002</v>
      </c>
      <c r="L36" s="340"/>
      <c r="M36" s="340">
        <v>0</v>
      </c>
      <c r="N36" s="340">
        <v>4.4400000000000004</v>
      </c>
      <c r="O36" s="343">
        <f>+M36/K36</f>
        <v>0</v>
      </c>
      <c r="P36" s="343">
        <f>+N36/K36</f>
        <v>0.22188905547226387</v>
      </c>
      <c r="Q36" s="344"/>
      <c r="R36" s="344"/>
      <c r="S36" s="344"/>
      <c r="T36" s="344">
        <f>IF(J35="TT",IF(F35="u/g detention",(43*0.9*(0.05+0.9*P36)*0.26*$K36*2.72/12)-AK34,(43*0.9*(0.05+0.9*P36)*0.26*$K36*2.72/12)-AK35),43*0.9*(0.05+0.9*P36)*0.26*$K36*2.72/12)</f>
        <v>11.39561748</v>
      </c>
      <c r="U36" s="344">
        <f>T36*5.2</f>
        <v>59.257210896000004</v>
      </c>
      <c r="V36" s="344">
        <f>T36*420.9</f>
        <v>4796.4153973319999</v>
      </c>
      <c r="W36" s="344"/>
      <c r="X36" s="348" t="s">
        <v>278</v>
      </c>
      <c r="Y36" s="345" t="s">
        <v>295</v>
      </c>
      <c r="Z36" s="345">
        <v>4.4400000000000004</v>
      </c>
      <c r="AA36" s="369">
        <f>IF(Y36="NA", 0, (Y36/43560)*12/Z36)</f>
        <v>0</v>
      </c>
      <c r="AB36" s="745" t="s">
        <v>311</v>
      </c>
      <c r="AC36" s="359" t="str">
        <f t="shared" si="1"/>
        <v>NA</v>
      </c>
      <c r="AD36" s="347">
        <f t="shared" si="0"/>
        <v>0</v>
      </c>
      <c r="AE36" s="356">
        <f>IF(ISNA(VLOOKUP(H36,'Efficiency Lookup'!$B$2:$C$38,2,FALSE)),0,(VLOOKUP(H36,'Efficiency Lookup'!$B$2:$C$38,2,FALSE)))</f>
        <v>0.65</v>
      </c>
      <c r="AF36" s="348">
        <f>T36*AE36</f>
        <v>7.4071513620000005</v>
      </c>
      <c r="AG36" s="359">
        <f>IF(ISNA(VLOOKUP(I36,'Efficiency Lookup'!$D$2:$E$35,2,FALSE)),0,VLOOKUP(I36,'Efficiency Lookup'!$D$2:$E$35,2,FALSE))</f>
        <v>0.45</v>
      </c>
      <c r="AH36" s="347">
        <f>T36*AG36</f>
        <v>5.128027866</v>
      </c>
      <c r="AI36" s="370">
        <f>IF(X36="RR",IF((0.0304*(AA36^5)-0.2619*(AA36^4)+0.9161*(AA36^3)-1.6837*(AA36^2)+1.7072*AA36-0.0091)&gt;0.85,0.85,IF((0.0304*(AA36^5)-0.2619*(AA36^4)+0.9161*(AA36^3)-1.6837*(AA36^2)+1.7072*AA36-0.0091)&lt;0,0,(0.0304*(AA36^5)-0.2619*(AA36^4)+0.9161*(AA36^3)-1.6837*(AA36^2)+1.7072*AA36-0.0091))),IF((0.0239*(AA36^5)-0.2058*(AA36^4)+0.7198*(AA36^3)-1.3229*(AA36^2)+1.3414*AA36-0.0072)&gt;0.65,0.65,IF((0.0239*(AA36^5)-0.2058*(AA36^4)+0.7198*(AA36^3)-1.3229*(AA36^2)+1.3414*AA36-0.0072)&lt;0,0,(0.0239*(AA36^5)-0.2058*(AA36^4)+0.7198*(AA36^3)-1.3229*(AA36^2)+1.3414*AA36-0.0072))))</f>
        <v>0</v>
      </c>
      <c r="AJ36" s="347">
        <f>T36*AI36</f>
        <v>0</v>
      </c>
      <c r="AK36" s="591">
        <f t="shared" si="2"/>
        <v>7.4071513620000005</v>
      </c>
      <c r="AL36" s="348">
        <f>AK36</f>
        <v>7.4071513620000005</v>
      </c>
      <c r="AM36" s="357">
        <f>AL36-W35</f>
        <v>3.646700226000001</v>
      </c>
      <c r="AN36" s="358">
        <f>AM36/AL36</f>
        <v>0.49232154816063561</v>
      </c>
      <c r="AO36" s="355">
        <f>IF(ISNA(VLOOKUP(I36,'Efficiency Lookup'!$D$2:$G$35,3,FALSE)),0,VLOOKUP(I36,'Efficiency Lookup'!$D$2:$G$35,3,FALSE))</f>
        <v>0.2</v>
      </c>
      <c r="AP36" s="348">
        <f>U36*AO36</f>
        <v>11.851442179200001</v>
      </c>
      <c r="AQ36" s="359">
        <f>IF(X36="RR",IF((0.0308*(AA36^5)-0.2562*(AA36^4)+0.8634*(AA36^3)-1.5285*(AA36^2)+1.501*AA36-0.013)&gt;0.7,0.7,IF((0.0308*(AA36^5)-0.2562*(AA36^4)+0.8634*(AA36^3)-1.5285*(AA36^2)+1.501*AA36-0.013)&lt;0,0,(0.0308*(AA36^5)-0.2562*(AA36^4)+0.8634*(AA36^3)-1.5285*(AA36^2)+1.501*AA36-0.013))),IF((0.0152*(AA36^5)-0.131*(AA36^4)+0.4581*(AA36^3)-0.8418*(AA36^2)+0.8536*AA36-0.0046)&gt;0.65,0.65,IF((0.0152*(AA36^5)-0.131*(AA36^4)+0.4581*(AA36^3)-0.8418*(AA36^2)+0.8536*AA36-0.0046)&lt;0,0,(0.0152*(AA36^5)-0.131*(AA36^4)+0.4581*(AA36^3)-0.8418*(AA36^2)+0.8536*AA36-0.0046))))</f>
        <v>0</v>
      </c>
      <c r="AR36" s="347">
        <f>U36*AQ36</f>
        <v>0</v>
      </c>
      <c r="AS36" s="402">
        <f>IF(AK36=AF36,MAX(AP36,AR36),IF(AK36=AH36,AP36,AR36))</f>
        <v>11.851442179200001</v>
      </c>
      <c r="AT36" s="357">
        <f>AS36</f>
        <v>11.851442179200001</v>
      </c>
      <c r="AU36" s="357">
        <f>AT36*AN36</f>
        <v>5.8347203616000014</v>
      </c>
      <c r="AV36" s="355">
        <f>IF(ISNA(VLOOKUP(I36,'Efficiency Lookup'!$D$2:$G$35,4,FALSE)),0,VLOOKUP(I36,'Efficiency Lookup'!$D$2:$G$35,4,FALSE))</f>
        <v>0.6</v>
      </c>
      <c r="AW36" s="348">
        <f>$V36*AV36</f>
        <v>2877.8492383991997</v>
      </c>
      <c r="AX36" s="359">
        <f>IF(X36="RR",IF((0.0326*(AA36^5)-0.2806*(AA36^4)+0.9816*(AA36^3)-1.8039*(AA36^2)+1.8292*AA36-0.0098)&gt;0.85,0.85,IF((0.0326*(AA36^5)-0.2806*(AA36^4)+0.9816*(AA36^3)-1.8039*(AA36^2)+1.8292*AA36-0.0098)&lt;0,0,(0.0326*(AA36^5)-0.2806*(AA36^4)+0.9816*(AA36^3)-1.8039*(AA36^2)+1.8292*AA36-0.0098))),IF((0.0304*(AA36^5)-0.2619*(AA36^4)+0.9161*(AA36^3)-1.6837*(AA36^2)+1.7072*AA36-0.0091)&gt;0.8,0.8,IF((0.0304*(AA36^5)-0.2619*(AA36^4)+0.9161*(AA36^3)-1.6837*(AA36^2)+1.7072*AA36-0.0091)&lt;0,0,(0.0304*(AA36^5)-0.2619*(AA36^4)+0.9161*(AA36^3)-1.6837*(AA36^2)+1.7072*AA36-0.0091))))</f>
        <v>0</v>
      </c>
      <c r="AY36" s="360">
        <f>$V36*AX36</f>
        <v>0</v>
      </c>
      <c r="AZ36" s="402">
        <f>IF(AK36=AJ36,AY36,IF(AK36=AH36,AW36,IF(AP36=AR36,MAX(AW36,AY36),IF(AS36=AP36,AW36,AY36))))</f>
        <v>2877.8492383991997</v>
      </c>
      <c r="BA36" s="357">
        <f>AZ36</f>
        <v>2877.8492383991997</v>
      </c>
      <c r="BB36" s="403">
        <f>BA36*AN36</f>
        <v>1416.8271924216001</v>
      </c>
      <c r="BC36" s="361">
        <f>AM36</f>
        <v>3.646700226000001</v>
      </c>
      <c r="BD36" s="361">
        <f>AU36</f>
        <v>5.8347203616000014</v>
      </c>
      <c r="BE36" s="362">
        <f>BB36</f>
        <v>1416.8271924216001</v>
      </c>
      <c r="BF36" s="1035"/>
      <c r="BG36" s="349" t="s">
        <v>287</v>
      </c>
    </row>
    <row r="37" spans="1:59" s="268" customFormat="1" ht="18.600000000000001" customHeight="1" x14ac:dyDescent="0.25">
      <c r="B37" s="271"/>
      <c r="C37" s="271"/>
      <c r="G37" s="277"/>
      <c r="H37" s="263"/>
      <c r="I37" s="263"/>
      <c r="Q37" s="264"/>
      <c r="S37" s="264"/>
      <c r="T37" s="264"/>
      <c r="U37" s="264"/>
      <c r="V37" s="264"/>
      <c r="W37" s="264"/>
      <c r="X37" s="264"/>
      <c r="Y37" s="265"/>
      <c r="Z37" s="265"/>
      <c r="AA37" s="264"/>
      <c r="AB37" s="743" t="s">
        <v>297</v>
      </c>
      <c r="AC37" s="751" t="str">
        <f t="shared" si="1"/>
        <v/>
      </c>
      <c r="AD37" s="303" t="str">
        <f t="shared" si="0"/>
        <v/>
      </c>
      <c r="AE37" s="274"/>
      <c r="AF37" s="266"/>
      <c r="AG37" s="274"/>
      <c r="AH37" s="274"/>
      <c r="AI37" s="303"/>
      <c r="AJ37" s="274"/>
      <c r="AK37" s="328" t="str">
        <f t="shared" si="2"/>
        <v/>
      </c>
      <c r="AO37" s="325"/>
      <c r="AP37" s="274"/>
      <c r="AQ37" s="303"/>
      <c r="AR37" s="303"/>
      <c r="AS37" s="326"/>
      <c r="AU37" s="279"/>
      <c r="AV37" s="325"/>
      <c r="AW37" s="274"/>
      <c r="AX37" s="303"/>
      <c r="AY37" s="285"/>
      <c r="AZ37" s="326"/>
      <c r="BB37" s="331"/>
      <c r="BE37" s="331"/>
      <c r="BF37" s="277"/>
    </row>
    <row r="38" spans="1:59" ht="18.600000000000001" customHeight="1" x14ac:dyDescent="0.25">
      <c r="A38" s="11" t="s">
        <v>318</v>
      </c>
      <c r="B38" s="11"/>
      <c r="C38" s="11"/>
      <c r="D38" s="1111" t="s">
        <v>271</v>
      </c>
      <c r="E38" s="1065"/>
      <c r="F38" s="1019"/>
      <c r="G38" s="1019"/>
      <c r="H38" s="1021"/>
      <c r="I38" s="1021"/>
      <c r="J38" s="1019"/>
      <c r="K38" s="11">
        <v>2.12</v>
      </c>
      <c r="L38" s="11"/>
      <c r="M38" s="11">
        <v>0</v>
      </c>
      <c r="N38" s="9">
        <v>0.52</v>
      </c>
      <c r="O38" s="7">
        <f>+M38/K38</f>
        <v>0</v>
      </c>
      <c r="P38" s="7">
        <f>+N38/K38</f>
        <v>0.24528301886792453</v>
      </c>
      <c r="Q38" s="8">
        <f>43*0.9*(0.05+0.9*0.16)*0.26*$K38*2.72/12</f>
        <v>0.9380145216000001</v>
      </c>
      <c r="R38" s="39">
        <f>43*0.9*(0.05+0.9*O38)*0.26*$K38*2.72/12</f>
        <v>0.24175632000000011</v>
      </c>
      <c r="S38" s="8">
        <f>IF(J38="R",R38,Q38)</f>
        <v>0.9380145216000001</v>
      </c>
      <c r="T38" s="8">
        <f>43*0.9*(0.05+0.9*P38)*0.26*$K38*2.72/12</f>
        <v>1.3091332800000004</v>
      </c>
      <c r="U38" s="8">
        <f>T38*5.2</f>
        <v>6.807493056000002</v>
      </c>
      <c r="V38" s="8">
        <f>T38*420.9</f>
        <v>551.01419755200016</v>
      </c>
      <c r="W38" s="8">
        <f>IF(P38 &lt; 16%, 0, IF(K38 &lt; 1, 0, T38-S38))</f>
        <v>0.3711187584000003</v>
      </c>
      <c r="X38" s="8"/>
      <c r="Y38" s="257"/>
      <c r="Z38" s="257"/>
      <c r="AA38" s="8"/>
      <c r="AB38" s="744" t="s">
        <v>297</v>
      </c>
      <c r="AC38" s="750" t="str">
        <f t="shared" si="1"/>
        <v/>
      </c>
      <c r="AD38" s="39" t="str">
        <f t="shared" si="0"/>
        <v/>
      </c>
      <c r="AE38" s="34"/>
      <c r="AF38" s="34"/>
      <c r="AG38" s="39"/>
      <c r="AH38" s="133"/>
      <c r="AI38" s="39"/>
      <c r="AJ38" s="133"/>
      <c r="AK38" s="327" t="str">
        <f t="shared" si="2"/>
        <v/>
      </c>
      <c r="AO38" s="589"/>
      <c r="AP38" s="39"/>
      <c r="AQ38" s="39"/>
      <c r="AR38" s="39"/>
      <c r="AS38" s="306"/>
      <c r="AU38" s="28"/>
      <c r="AV38" s="589"/>
      <c r="AW38" s="39"/>
      <c r="AX38" s="39"/>
      <c r="AY38" s="136"/>
      <c r="AZ38" s="146"/>
      <c r="BA38" s="8"/>
      <c r="BB38" s="143"/>
      <c r="BE38" s="143"/>
      <c r="BF38" s="14" t="s">
        <v>319</v>
      </c>
      <c r="BG38" t="s">
        <v>300</v>
      </c>
    </row>
    <row r="39" spans="1:59" ht="18.600000000000001" customHeight="1" x14ac:dyDescent="0.25">
      <c r="A39" s="10" t="s">
        <v>320</v>
      </c>
      <c r="B39" s="11">
        <v>-78.444918000000001</v>
      </c>
      <c r="C39" s="11">
        <v>38.086474000000003</v>
      </c>
      <c r="D39" s="13">
        <v>164.01</v>
      </c>
      <c r="E39" s="1048" t="s">
        <v>274</v>
      </c>
      <c r="F39" s="1048" t="s">
        <v>275</v>
      </c>
      <c r="G39" s="1048"/>
      <c r="H39" s="1021" t="s">
        <v>276</v>
      </c>
      <c r="I39" s="1021" t="s">
        <v>277</v>
      </c>
      <c r="J39" s="1048" t="s">
        <v>301</v>
      </c>
      <c r="K39" s="11">
        <v>2.12</v>
      </c>
      <c r="L39" s="11"/>
      <c r="M39" s="11">
        <v>0</v>
      </c>
      <c r="N39" s="11">
        <v>0.52</v>
      </c>
      <c r="O39" s="7">
        <f>+M39/K39</f>
        <v>0</v>
      </c>
      <c r="P39" s="7">
        <f>+N39/K39</f>
        <v>0.24528301886792453</v>
      </c>
      <c r="Q39" s="8"/>
      <c r="R39" s="8"/>
      <c r="S39" s="8"/>
      <c r="T39" s="8">
        <f>IF(J38="TT",IF(F38="u/g detention",(43*0.9*(0.05+0.9*P39)*0.26*$K39*2.72/12)-AK37,(43*0.9*(0.05+0.9*P39)*0.26*$K39*2.72/12)-AK38),43*0.9*(0.05+0.9*P39)*0.26*$K39*2.72/12)</f>
        <v>1.3091332800000004</v>
      </c>
      <c r="U39" s="8">
        <f>T39*5.2</f>
        <v>6.807493056000002</v>
      </c>
      <c r="V39" s="8">
        <f>T39*420.9</f>
        <v>551.01419755200016</v>
      </c>
      <c r="W39" s="8"/>
      <c r="X39" s="34" t="s">
        <v>278</v>
      </c>
      <c r="Y39" s="257">
        <v>1633</v>
      </c>
      <c r="Z39" s="257">
        <v>1.17</v>
      </c>
      <c r="AA39" s="258">
        <f>IF(Y39="NA", 0, (Y39/43560)*12/Z39)</f>
        <v>0.38449765722492996</v>
      </c>
      <c r="AB39" s="742" t="s">
        <v>296</v>
      </c>
      <c r="AC39" s="134" t="str">
        <f t="shared" si="1"/>
        <v>NA</v>
      </c>
      <c r="AD39" s="741">
        <f t="shared" si="0"/>
        <v>0</v>
      </c>
      <c r="AE39" s="135">
        <f>IF(ISNA(VLOOKUP(H39,'Efficiency Lookup'!$B$2:$C$38,2,FALSE)),0,(VLOOKUP(H39,'Efficiency Lookup'!$B$2:$C$38,2,FALSE)))</f>
        <v>0.65</v>
      </c>
      <c r="AF39" s="34">
        <f>T39*AE39</f>
        <v>0.85093663200000025</v>
      </c>
      <c r="AG39" s="134">
        <f>IF(ISNA(VLOOKUP(I39,'Efficiency Lookup'!$D$2:$E$35,2,FALSE)),0,VLOOKUP(I39,'Efficiency Lookup'!$D$2:$E$35,2,FALSE))</f>
        <v>0.45</v>
      </c>
      <c r="AH39" s="133">
        <f>T39*AG39</f>
        <v>0.58910997600000015</v>
      </c>
      <c r="AI39" s="132">
        <f>IF(X39="RR",IF((0.0304*(AA39^5)-0.2619*(AA39^4)+0.9161*(AA39^3)-1.6837*(AA39^2)+1.7072*AA39-0.0091)&gt;0.85,0.85,IF((0.0304*(AA39^5)-0.2619*(AA39^4)+0.9161*(AA39^3)-1.6837*(AA39^2)+1.7072*AA39-0.0091)&lt;0,0,(0.0304*(AA39^5)-0.2619*(AA39^4)+0.9161*(AA39^3)-1.6837*(AA39^2)+1.7072*AA39-0.0091))),IF((0.0239*(AA39^5)-0.2058*(AA39^4)+0.7198*(AA39^3)-1.3229*(AA39^2)+1.3414*AA39-0.0072)&gt;0.65,0.65,IF((0.0239*(AA39^5)-0.2058*(AA39^4)+0.7198*(AA39^3)-1.3229*(AA39^2)+1.3414*AA39-0.0072)&lt;0,0,(0.0239*(AA39^5)-0.2058*(AA39^4)+0.7198*(AA39^3)-1.3229*(AA39^2)+1.3414*AA39-0.0072))))</f>
        <v>0.34960849209154543</v>
      </c>
      <c r="AJ39" s="133">
        <f>T39*AI39</f>
        <v>0.45768411196765907</v>
      </c>
      <c r="AK39" s="516">
        <f t="shared" si="2"/>
        <v>0.85093663200000025</v>
      </c>
      <c r="AL39" s="34">
        <f>AK39</f>
        <v>0.85093663200000025</v>
      </c>
      <c r="AM39" s="313">
        <f>AL39-W38</f>
        <v>0.47981787359999994</v>
      </c>
      <c r="AN39" s="288">
        <f>AM39/AL39</f>
        <v>0.56387027606539775</v>
      </c>
      <c r="AO39" s="138">
        <f>IF(ISNA(VLOOKUP(I39,'Efficiency Lookup'!$D$2:$G$35,3,FALSE)),0,VLOOKUP(I39,'Efficiency Lookup'!$D$2:$G$35,3,FALSE))</f>
        <v>0.2</v>
      </c>
      <c r="AP39" s="133">
        <f>U39*AO39</f>
        <v>1.3614986112000005</v>
      </c>
      <c r="AQ39" s="135">
        <f>IF(X39="RR",IF((0.0308*(AA39^5)-0.2562*(AA39^4)+0.8634*(AA39^3)-1.5285*(AA39^2)+1.501*AA39-0.013)&gt;0.7,0.7,IF((0.0308*(AA39^5)-0.2562*(AA39^4)+0.8634*(AA39^3)-1.5285*(AA39^2)+1.501*AA39-0.013)&lt;0,0,(0.0308*(AA39^5)-0.2562*(AA39^4)+0.8634*(AA39^3)-1.5285*(AA39^2)+1.501*AA39-0.013))),IF((0.0152*(AA39^5)-0.131*(AA39^4)+0.4581*(AA39^3)-0.8418*(AA39^2)+0.8536*AA39-0.0046)&gt;0.65,0.65,IF((0.0152*(AA39^5)-0.131*(AA39^4)+0.4581*(AA39^3)-0.8418*(AA39^2)+0.8536*AA39-0.0046)&lt;0,0,(0.0152*(AA39^5)-0.131*(AA39^4)+0.4581*(AA39^3)-0.8418*(AA39^2)+0.8536*AA39-0.0046))))</f>
        <v>0.22246139120484965</v>
      </c>
      <c r="AR39" s="34">
        <f>U39*AQ39</f>
        <v>1.5144043758551138</v>
      </c>
      <c r="AS39" s="400">
        <f>IF(AK39=AF39,MAX(AP39,AR39),IF(AK39=AH39,AP39,AR39))</f>
        <v>1.5144043758551138</v>
      </c>
      <c r="AT39" s="313">
        <f>AS39</f>
        <v>1.5144043758551138</v>
      </c>
      <c r="AU39" s="313">
        <f>AT39*AN39</f>
        <v>0.85392761348806934</v>
      </c>
      <c r="AV39" s="138">
        <f>IF(ISNA(VLOOKUP(I39,'Efficiency Lookup'!$D$2:$G$35,4,FALSE)),0,VLOOKUP(I39,'Efficiency Lookup'!$D$2:$G$35,4,FALSE))</f>
        <v>0.6</v>
      </c>
      <c r="AW39" s="133">
        <f>$V39*AV39</f>
        <v>330.6085185312001</v>
      </c>
      <c r="AX39" s="135">
        <f>IF(X39="RR",IF((0.0326*(AA39^5)-0.2806*(AA39^4)+0.9816*(AA39^3)-1.8039*(AA39^2)+1.8292*AA39-0.0098)&gt;0.85,0.85,IF((0.0326*(AA39^5)-0.2806*(AA39^4)+0.9816*(AA39^3)-1.8039*(AA39^2)+1.8292*AA39-0.0098)&lt;0,0,(0.0326*(AA39^5)-0.2806*(AA39^4)+0.9816*(AA39^3)-1.8039*(AA39^2)+1.8292*AA39-0.0098))),IF((0.0304*(AA39^5)-0.2619*(AA39^4)+0.9161*(AA39^3)-1.6837*(AA39^2)+1.7072*AA39-0.0091)&gt;0.8,0.8,IF((0.0304*(AA39^5)-0.2619*(AA39^4)+0.9161*(AA39^3)-1.6837*(AA39^2)+1.7072*AA39-0.0091)&lt;0,0,(0.0304*(AA39^5)-0.2619*(AA39^4)+0.9161*(AA39^3)-1.6837*(AA39^2)+1.7072*AA39-0.0091))))</f>
        <v>0.44500449983183477</v>
      </c>
      <c r="AY39" s="144">
        <f>$V39*AX39</f>
        <v>245.20379738186762</v>
      </c>
      <c r="AZ39" s="400">
        <f>IF(AS39=AP39,AW39,AY39)</f>
        <v>245.20379738186762</v>
      </c>
      <c r="BA39" s="313">
        <f>AZ39</f>
        <v>245.20379738186762</v>
      </c>
      <c r="BB39" s="401">
        <f>BA39*AN39</f>
        <v>138.26313292199754</v>
      </c>
      <c r="BC39" s="318">
        <f>AM39</f>
        <v>0.47981787359999994</v>
      </c>
      <c r="BD39" s="318">
        <f>AU39</f>
        <v>0.85392761348806934</v>
      </c>
      <c r="BE39" s="332">
        <f>BB39</f>
        <v>138.26313292199754</v>
      </c>
      <c r="BF39" s="14"/>
      <c r="BG39" t="s">
        <v>287</v>
      </c>
    </row>
    <row r="40" spans="1:59" s="268" customFormat="1" ht="18.600000000000001" customHeight="1" x14ac:dyDescent="0.25">
      <c r="B40" s="271"/>
      <c r="C40" s="271"/>
      <c r="G40" s="277"/>
      <c r="H40" s="263"/>
      <c r="I40" s="263"/>
      <c r="Q40" s="264"/>
      <c r="S40" s="264"/>
      <c r="T40" s="264"/>
      <c r="U40" s="264"/>
      <c r="V40" s="264"/>
      <c r="W40" s="264"/>
      <c r="X40" s="264"/>
      <c r="Y40" s="265"/>
      <c r="Z40" s="265"/>
      <c r="AA40" s="264"/>
      <c r="AB40" s="743" t="s">
        <v>297</v>
      </c>
      <c r="AC40" s="751" t="str">
        <f t="shared" si="1"/>
        <v/>
      </c>
      <c r="AD40" s="303" t="str">
        <f t="shared" si="0"/>
        <v/>
      </c>
      <c r="AE40" s="266"/>
      <c r="AF40" s="266"/>
      <c r="AG40" s="303"/>
      <c r="AH40" s="274"/>
      <c r="AI40" s="303"/>
      <c r="AJ40" s="274"/>
      <c r="AK40" s="328" t="str">
        <f t="shared" si="2"/>
        <v/>
      </c>
      <c r="AO40" s="329"/>
      <c r="AP40" s="303"/>
      <c r="AQ40" s="303"/>
      <c r="AR40" s="303"/>
      <c r="AS40" s="326"/>
      <c r="AV40" s="329"/>
      <c r="AW40" s="303"/>
      <c r="AX40" s="303"/>
      <c r="AY40" s="285"/>
      <c r="AZ40" s="326"/>
      <c r="BB40" s="331"/>
      <c r="BE40" s="331"/>
    </row>
    <row r="41" spans="1:59" ht="18.600000000000001" customHeight="1" x14ac:dyDescent="0.25">
      <c r="A41" s="11" t="s">
        <v>321</v>
      </c>
      <c r="B41" s="11"/>
      <c r="C41" s="11"/>
      <c r="D41" s="1111" t="s">
        <v>271</v>
      </c>
      <c r="E41" s="1065"/>
      <c r="F41" s="1019"/>
      <c r="G41" s="1019"/>
      <c r="H41" s="1021"/>
      <c r="I41" s="1021"/>
      <c r="J41" s="1019"/>
      <c r="K41" s="11">
        <v>26.4</v>
      </c>
      <c r="L41" s="11"/>
      <c r="M41" s="11">
        <v>0</v>
      </c>
      <c r="N41" s="9">
        <v>10.210000000000001</v>
      </c>
      <c r="O41" s="7">
        <f>+M41/K41</f>
        <v>0</v>
      </c>
      <c r="P41" s="7">
        <f>+N41/K41</f>
        <v>0.38674242424242428</v>
      </c>
      <c r="Q41" s="8">
        <f>43*0.9*(0.05+0.9*0.16)*0.26*$K41*2.72/12</f>
        <v>11.680935552000001</v>
      </c>
      <c r="R41" s="39">
        <f>43*0.9*(0.05+0.9*O41)*0.26*$K41*2.72/12</f>
        <v>3.010550400000001</v>
      </c>
      <c r="S41" s="8">
        <f>IF(J41="R",R41,Q41)</f>
        <v>11.680935552000001</v>
      </c>
      <c r="T41" s="8">
        <f>43*0.9*(0.05+0.9*P41)*0.26*$K41*2.72/12</f>
        <v>23.96808648</v>
      </c>
      <c r="U41" s="8">
        <f>T41*5.2</f>
        <v>124.63404969600001</v>
      </c>
      <c r="V41" s="8">
        <f>T41*420.9</f>
        <v>10088.167599431999</v>
      </c>
      <c r="W41" s="8">
        <f>IF(P41 &lt; 16%, 0, IF(K41 &lt; 1, 0, T41-S41))</f>
        <v>12.287150927999999</v>
      </c>
      <c r="X41" s="8"/>
      <c r="Y41" s="257"/>
      <c r="Z41" s="257"/>
      <c r="AA41" s="8"/>
      <c r="AB41" s="744" t="s">
        <v>297</v>
      </c>
      <c r="AC41" s="750" t="str">
        <f t="shared" si="1"/>
        <v/>
      </c>
      <c r="AD41" s="39" t="str">
        <f t="shared" si="0"/>
        <v/>
      </c>
      <c r="AE41" s="34"/>
      <c r="AF41" s="34"/>
      <c r="AG41" s="39"/>
      <c r="AH41" s="133"/>
      <c r="AI41" s="39"/>
      <c r="AJ41" s="133"/>
      <c r="AK41" s="327" t="str">
        <f t="shared" si="2"/>
        <v/>
      </c>
      <c r="AO41" s="589"/>
      <c r="AP41" s="39"/>
      <c r="AQ41" s="39"/>
      <c r="AR41" s="39"/>
      <c r="AS41" s="306"/>
      <c r="AU41" s="28"/>
      <c r="AV41" s="589"/>
      <c r="AW41" s="39"/>
      <c r="AX41" s="39"/>
      <c r="AY41" s="136"/>
      <c r="AZ41" s="146"/>
      <c r="BA41" s="8"/>
      <c r="BB41" s="143"/>
      <c r="BE41" s="143"/>
      <c r="BF41" s="14" t="s">
        <v>322</v>
      </c>
      <c r="BG41" t="s">
        <v>300</v>
      </c>
    </row>
    <row r="42" spans="1:59" ht="18.600000000000001" customHeight="1" x14ac:dyDescent="0.25">
      <c r="A42" s="10" t="s">
        <v>323</v>
      </c>
      <c r="B42" s="11">
        <v>-78.422064000000006</v>
      </c>
      <c r="C42" s="11">
        <v>38.154727000000001</v>
      </c>
      <c r="D42" s="13">
        <v>1</v>
      </c>
      <c r="E42" s="1048" t="s">
        <v>274</v>
      </c>
      <c r="F42" s="1048" t="s">
        <v>275</v>
      </c>
      <c r="G42" s="1048"/>
      <c r="H42" s="1021" t="s">
        <v>276</v>
      </c>
      <c r="I42" s="1021" t="s">
        <v>277</v>
      </c>
      <c r="J42" s="1048"/>
      <c r="K42" s="11">
        <v>10.23</v>
      </c>
      <c r="L42" s="11"/>
      <c r="M42" s="11">
        <v>2.2999999999999998</v>
      </c>
      <c r="N42" s="11">
        <v>4.5</v>
      </c>
      <c r="O42" s="7">
        <f>+M42/K42</f>
        <v>0.22482893450635383</v>
      </c>
      <c r="P42" s="7">
        <f>+N42/K42</f>
        <v>0.43988269794721407</v>
      </c>
      <c r="Q42" s="8"/>
      <c r="R42" s="8"/>
      <c r="S42" s="8"/>
      <c r="T42" s="8">
        <f>IF(J41="TT",IF(F41="u/g detention",(43*0.9*(0.05+0.9*P42)*0.26*$K42*2.72/12)-AK40,(43*0.9*(0.05+0.9*P42)*0.26*$K42*2.72/12)-AK41),43*0.9*(0.05+0.9*P42)*0.26*$K42*2.72/12)</f>
        <v>10.403504280000002</v>
      </c>
      <c r="U42" s="8">
        <f>T42*5.2</f>
        <v>54.098222256000014</v>
      </c>
      <c r="V42" s="8">
        <f>T42*420.9</f>
        <v>4378.8349514520005</v>
      </c>
      <c r="W42" s="8"/>
      <c r="X42" s="36" t="s">
        <v>278</v>
      </c>
      <c r="Y42" s="257">
        <v>73100</v>
      </c>
      <c r="Z42" s="257">
        <v>5.5</v>
      </c>
      <c r="AA42" s="258">
        <f>IF(Y42="NA", 0, (Y42/43560)*12/Z42)</f>
        <v>3.6614074630603555</v>
      </c>
      <c r="AB42" s="742" t="s">
        <v>296</v>
      </c>
      <c r="AC42" s="134" t="str">
        <f t="shared" si="1"/>
        <v>NA</v>
      </c>
      <c r="AD42" s="741">
        <f t="shared" si="0"/>
        <v>0</v>
      </c>
      <c r="AE42" s="134">
        <f>IF(ISNA(VLOOKUP(H42,'Efficiency Lookup'!$B$2:$C$38,2,FALSE)),0,(VLOOKUP(H42,'Efficiency Lookup'!$B$2:$C$38,2,FALSE)))</f>
        <v>0.65</v>
      </c>
      <c r="AF42" s="133">
        <f>T42*AE42</f>
        <v>6.7622777820000017</v>
      </c>
      <c r="AG42" s="134">
        <f>IF(ISNA(VLOOKUP(I42,'Efficiency Lookup'!$D$2:$E$35,2,FALSE)),0,VLOOKUP(I42,'Efficiency Lookup'!$D$2:$E$35,2,FALSE))</f>
        <v>0.45</v>
      </c>
      <c r="AH42" s="133">
        <f>T42*AG42</f>
        <v>4.6815769260000009</v>
      </c>
      <c r="AI42" s="443">
        <f>IF(X42="RR",IF((0.0304*(AA42^5)-0.2619*(AA42^4)+0.9161*(AA42^3)-1.6837*(AA42^2)+1.7072*AA42-0.0091)&gt;0.85,0.85,IF((0.0304*(AA42^5)-0.2619*(AA42^4)+0.9161*(AA42^3)-1.6837*(AA42^2)+1.7072*AA42-0.0091)&lt;0,0,(0.0304*(AA42^5)-0.2619*(AA42^4)+0.9161*(AA42^3)-1.6837*(AA42^2)+1.7072*AA42-0.0091))),IF((0.0239*(AA42^5)-0.2058*(AA42^4)+0.7198*(AA42^3)-1.3229*(AA42^2)+1.3414*AA42-0.0072)&gt;0.65,0.65,IF((0.0239*(AA42^5)-0.2058*(AA42^4)+0.7198*(AA42^3)-1.3229*(AA42^2)+1.3414*AA42-0.0072)&lt;0,0,(0.0239*(AA42^5)-0.2058*(AA42^4)+0.7198*(AA42^3)-1.3229*(AA42^2)+1.3414*AA42-0.0072))))</f>
        <v>0.65</v>
      </c>
      <c r="AJ42" s="313">
        <f>T42*AI42</f>
        <v>6.7622777820000017</v>
      </c>
      <c r="AK42" s="516">
        <f t="shared" si="2"/>
        <v>6.7622777820000017</v>
      </c>
      <c r="AL42" s="1100">
        <f>SUM(AK42:AK44)</f>
        <v>21.323078478000006</v>
      </c>
      <c r="AM42" s="1100">
        <f>AL42-W41</f>
        <v>9.0359275500000074</v>
      </c>
      <c r="AN42" s="1112">
        <f>AM42/AL42</f>
        <v>0.42376280513729697</v>
      </c>
      <c r="AO42" s="138">
        <f>IF(ISNA(VLOOKUP(I42,'Efficiency Lookup'!$D$2:$G$35,3,FALSE)),0,VLOOKUP(I42,'Efficiency Lookup'!$D$2:$G$35,3,FALSE))</f>
        <v>0.2</v>
      </c>
      <c r="AP42" s="133">
        <f>U42*AO42</f>
        <v>10.819644451200004</v>
      </c>
      <c r="AQ42" s="135">
        <f>IF(X42="RR",IF((0.0308*(AA42^5)-0.2562*(AA42^4)+0.8634*(AA42^3)-1.5285*(AA42^2)+1.501*AA42-0.013)&gt;0.7,0.7,IF((0.0308*(AA42^5)-0.2562*(AA42^4)+0.8634*(AA42^3)-1.5285*(AA42^2)+1.501*AA42-0.013)&lt;0,0,(0.0308*(AA42^5)-0.2562*(AA42^4)+0.8634*(AA42^3)-1.5285*(AA42^2)+1.501*AA42-0.013))),IF((0.0152*(AA42^5)-0.131*(AA42^4)+0.4581*(AA42^3)-0.8418*(AA42^2)+0.8536*AA42-0.0046)&gt;0.65,0.65,IF((0.0152*(AA42^5)-0.131*(AA42^4)+0.4581*(AA42^3)-0.8418*(AA42^2)+0.8536*AA42-0.0046)&lt;0,0,(0.0152*(AA42^5)-0.131*(AA42^4)+0.4581*(AA42^3)-0.8418*(AA42^2)+0.8536*AA42-0.0046))))</f>
        <v>0.65</v>
      </c>
      <c r="AR42" s="34">
        <f>U42*AQ42</f>
        <v>35.163844466400008</v>
      </c>
      <c r="AS42" s="400">
        <f>IF(AK42=AF42,MAX(AP42,AR42),IF(AK42=AH42,AP42,AR42))</f>
        <v>35.163844466400008</v>
      </c>
      <c r="AT42" s="1100">
        <f>SUM(AS42:AS44)</f>
        <v>107.14337312488829</v>
      </c>
      <c r="AU42" s="1104">
        <f>AT42*AN42</f>
        <v>45.403376347274737</v>
      </c>
      <c r="AV42" s="138">
        <f>IF(ISNA(VLOOKUP(I42,'Efficiency Lookup'!$D$2:$G$35,4,FALSE)),0,VLOOKUP(I42,'Efficiency Lookup'!$D$2:$G$35,4,FALSE))</f>
        <v>0.6</v>
      </c>
      <c r="AW42" s="133">
        <f>$V42*AV42</f>
        <v>2627.3009708712002</v>
      </c>
      <c r="AX42" s="135">
        <f>IF(X42="RR",IF((0.0326*(AA42^5)-0.2806*(AA42^4)+0.9816*(AA42^3)-1.8039*(AA42^2)+1.8292*AA42-0.0098)&gt;0.85,0.85,IF((0.0326*(AA42^5)-0.2806*(AA42^4)+0.9816*(AA42^3)-1.8039*(AA42^2)+1.8292*AA42-0.0098)&lt;0,0,(0.0326*(AA42^5)-0.2806*(AA42^4)+0.9816*(AA42^3)-1.8039*(AA42^2)+1.8292*AA42-0.0098))),IF((0.0304*(AA42^5)-0.2619*(AA42^4)+0.9161*(AA42^3)-1.6837*(AA42^2)+1.7072*AA42-0.0091)&gt;0.8,0.8,IF((0.0304*(AA42^5)-0.2619*(AA42^4)+0.9161*(AA42^3)-1.6837*(AA42^2)+1.7072*AA42-0.0091)&lt;0,0,(0.0304*(AA42^5)-0.2619*(AA42^4)+0.9161*(AA42^3)-1.6837*(AA42^2)+1.7072*AA42-0.0091))))</f>
        <v>0.8</v>
      </c>
      <c r="AY42" s="144">
        <f>$V42*AX42</f>
        <v>3503.0679611616006</v>
      </c>
      <c r="AZ42" s="400">
        <f>IF(AS42=AP42,AW42,AY42)</f>
        <v>3503.0679611616006</v>
      </c>
      <c r="BA42" s="1100">
        <f>SUM(AZ42:AZ44)</f>
        <v>11046.010746326401</v>
      </c>
      <c r="BB42" s="1104">
        <f>BA42*AN42</f>
        <v>4680.8884994400032</v>
      </c>
      <c r="BC42" s="1105">
        <f>AM42</f>
        <v>9.0359275500000074</v>
      </c>
      <c r="BD42" s="1106">
        <f>AU42</f>
        <v>45.403376347274737</v>
      </c>
      <c r="BE42" s="1107">
        <f>BB42</f>
        <v>4680.8884994400032</v>
      </c>
      <c r="BF42" s="14"/>
      <c r="BG42" t="s">
        <v>287</v>
      </c>
    </row>
    <row r="43" spans="1:59" ht="18.600000000000001" customHeight="1" x14ac:dyDescent="0.25">
      <c r="A43" s="10" t="s">
        <v>324</v>
      </c>
      <c r="B43" s="11">
        <v>-78.418074000000004</v>
      </c>
      <c r="C43" s="11">
        <v>38.161251</v>
      </c>
      <c r="D43" s="13">
        <v>1</v>
      </c>
      <c r="E43" s="1048" t="s">
        <v>274</v>
      </c>
      <c r="F43" s="1048" t="s">
        <v>275</v>
      </c>
      <c r="G43" s="1048"/>
      <c r="H43" s="1021" t="s">
        <v>276</v>
      </c>
      <c r="I43" s="1021" t="s">
        <v>277</v>
      </c>
      <c r="J43" s="1048"/>
      <c r="K43" s="11">
        <v>21.36</v>
      </c>
      <c r="L43" s="11"/>
      <c r="M43" s="11">
        <v>0</v>
      </c>
      <c r="N43" s="11">
        <v>7.64</v>
      </c>
      <c r="O43" s="7">
        <f>+M43/K43</f>
        <v>0</v>
      </c>
      <c r="P43" s="7">
        <f>+N43/K43</f>
        <v>0.35767790262172283</v>
      </c>
      <c r="Q43" s="8"/>
      <c r="R43" s="8"/>
      <c r="S43" s="8"/>
      <c r="T43" s="8">
        <f>IF(J42="TT",IF(F42="u/g detention",(43*0.9*(0.05+0.9*P43)*0.26*$K43*2.72/12)-AK41,(43*0.9*(0.05+0.9*P43)*0.26*$K43*2.72/12)-AK42),43*0.9*(0.05+0.9*P43)*0.26*$K43*2.72/12)</f>
        <v>18.118039680000003</v>
      </c>
      <c r="U43" s="8">
        <f>T43*5.2</f>
        <v>94.213806336000019</v>
      </c>
      <c r="V43" s="8">
        <f>T43*420.9</f>
        <v>7625.8829013120003</v>
      </c>
      <c r="W43" s="8"/>
      <c r="X43" s="36" t="s">
        <v>278</v>
      </c>
      <c r="Y43" s="257">
        <v>118900</v>
      </c>
      <c r="Z43" s="257">
        <v>8.86</v>
      </c>
      <c r="AA43" s="258">
        <f>IF(Y43="NA", 0, (Y43/43560)*12/Z43)</f>
        <v>3.6969323856251832</v>
      </c>
      <c r="AB43" s="742" t="s">
        <v>296</v>
      </c>
      <c r="AC43" s="134" t="str">
        <f t="shared" si="1"/>
        <v>NA</v>
      </c>
      <c r="AD43" s="741">
        <f t="shared" si="0"/>
        <v>0</v>
      </c>
      <c r="AE43" s="134">
        <f>IF(ISNA(VLOOKUP(H43,'Efficiency Lookup'!$B$2:$C$38,2,FALSE)),0,(VLOOKUP(H43,'Efficiency Lookup'!$B$2:$C$38,2,FALSE)))</f>
        <v>0.65</v>
      </c>
      <c r="AF43" s="133">
        <f>T43*AE43</f>
        <v>11.776725792000002</v>
      </c>
      <c r="AG43" s="134">
        <f>IF(ISNA(VLOOKUP(I43,'Efficiency Lookup'!$D$2:$E$35,2,FALSE)),0,VLOOKUP(I43,'Efficiency Lookup'!$D$2:$E$35,2,FALSE))</f>
        <v>0.45</v>
      </c>
      <c r="AH43" s="133">
        <f>T43*AG43</f>
        <v>8.1531178560000015</v>
      </c>
      <c r="AI43" s="443">
        <f>IF(X43="RR",IF((0.0304*(AA43^5)-0.2619*(AA43^4)+0.9161*(AA43^3)-1.6837*(AA43^2)+1.7072*AA43-0.0091)&gt;0.85,0.85,IF((0.0304*(AA43^5)-0.2619*(AA43^4)+0.9161*(AA43^3)-1.6837*(AA43^2)+1.7072*AA43-0.0091)&lt;0,0,(0.0304*(AA43^5)-0.2619*(AA43^4)+0.9161*(AA43^3)-1.6837*(AA43^2)+1.7072*AA43-0.0091))),IF((0.0239*(AA43^5)-0.2058*(AA43^4)+0.7198*(AA43^3)-1.3229*(AA43^2)+1.3414*AA43-0.0072)&gt;0.65,0.65,IF((0.0239*(AA43^5)-0.2058*(AA43^4)+0.7198*(AA43^3)-1.3229*(AA43^2)+1.3414*AA43-0.0072)&lt;0,0,(0.0239*(AA43^5)-0.2058*(AA43^4)+0.7198*(AA43^3)-1.3229*(AA43^2)+1.3414*AA43-0.0072))))</f>
        <v>0.65</v>
      </c>
      <c r="AJ43" s="313">
        <f>T43*AI43</f>
        <v>11.776725792000002</v>
      </c>
      <c r="AK43" s="516">
        <f t="shared" si="2"/>
        <v>11.776725792000002</v>
      </c>
      <c r="AL43" s="1100"/>
      <c r="AM43" s="1100"/>
      <c r="AN43" s="1112"/>
      <c r="AO43" s="138">
        <f>IF(ISNA(VLOOKUP(I43,'Efficiency Lookup'!$D$2:$G$35,3,FALSE)),0,VLOOKUP(I43,'Efficiency Lookup'!$D$2:$G$35,3,FALSE))</f>
        <v>0.2</v>
      </c>
      <c r="AP43" s="133">
        <f>U43*AO43</f>
        <v>18.842761267200004</v>
      </c>
      <c r="AQ43" s="135">
        <f>IF(X43="RR",IF((0.0308*(AA43^5)-0.2562*(AA43^4)+0.8634*(AA43^3)-1.5285*(AA43^2)+1.501*AA43-0.013)&gt;0.7,0.7,IF((0.0308*(AA43^5)-0.2562*(AA43^4)+0.8634*(AA43^3)-1.5285*(AA43^2)+1.501*AA43-0.013)&lt;0,0,(0.0308*(AA43^5)-0.2562*(AA43^4)+0.8634*(AA43^3)-1.5285*(AA43^2)+1.501*AA43-0.013))),IF((0.0152*(AA43^5)-0.131*(AA43^4)+0.4581*(AA43^3)-0.8418*(AA43^2)+0.8536*AA43-0.0046)&gt;0.65,0.65,IF((0.0152*(AA43^5)-0.131*(AA43^4)+0.4581*(AA43^3)-0.8418*(AA43^2)+0.8536*AA43-0.0046)&lt;0,0,(0.0152*(AA43^5)-0.131*(AA43^4)+0.4581*(AA43^3)-0.8418*(AA43^2)+0.8536*AA43-0.0046))))</f>
        <v>0.65</v>
      </c>
      <c r="AR43" s="34">
        <f>U43*AQ43</f>
        <v>61.238974118400016</v>
      </c>
      <c r="AS43" s="400">
        <f>IF(AK43=AF43,MAX(AP43,AR43),IF(AK43=AH43,AP43,AR43))</f>
        <v>61.238974118400016</v>
      </c>
      <c r="AT43" s="1100"/>
      <c r="AU43" s="1104"/>
      <c r="AV43" s="138">
        <f>IF(ISNA(VLOOKUP(I43,'Efficiency Lookup'!$D$2:$G$35,4,FALSE)),0,VLOOKUP(I43,'Efficiency Lookup'!$D$2:$G$35,4,FALSE))</f>
        <v>0.6</v>
      </c>
      <c r="AW43" s="133">
        <f>$V43*AV43</f>
        <v>4575.5297407872004</v>
      </c>
      <c r="AX43" s="135">
        <f>IF(X43="RR",IF((0.0326*(AA43^5)-0.2806*(AA43^4)+0.9816*(AA43^3)-1.8039*(AA43^2)+1.8292*AA43-0.0098)&gt;0.85,0.85,IF((0.0326*(AA43^5)-0.2806*(AA43^4)+0.9816*(AA43^3)-1.8039*(AA43^2)+1.8292*AA43-0.0098)&lt;0,0,(0.0326*(AA43^5)-0.2806*(AA43^4)+0.9816*(AA43^3)-1.8039*(AA43^2)+1.8292*AA43-0.0098))),IF((0.0304*(AA43^5)-0.2619*(AA43^4)+0.9161*(AA43^3)-1.6837*(AA43^2)+1.7072*AA43-0.0091)&gt;0.8,0.8,IF((0.0304*(AA43^5)-0.2619*(AA43^4)+0.9161*(AA43^3)-1.6837*(AA43^2)+1.7072*AA43-0.0091)&lt;0,0,(0.0304*(AA43^5)-0.2619*(AA43^4)+0.9161*(AA43^3)-1.6837*(AA43^2)+1.7072*AA43-0.0091))))</f>
        <v>0.8</v>
      </c>
      <c r="AY43" s="144">
        <f>$V43*AX43</f>
        <v>6100.7063210496008</v>
      </c>
      <c r="AZ43" s="400">
        <f>IF(AS43=AP43,AW43,AY43)</f>
        <v>6100.7063210496008</v>
      </c>
      <c r="BA43" s="1100"/>
      <c r="BB43" s="1104"/>
      <c r="BC43" s="1105"/>
      <c r="BD43" s="1106"/>
      <c r="BE43" s="1107"/>
      <c r="BF43" s="14"/>
      <c r="BG43" t="s">
        <v>287</v>
      </c>
    </row>
    <row r="44" spans="1:59" ht="18.600000000000001" customHeight="1" x14ac:dyDescent="0.25">
      <c r="A44" s="10" t="s">
        <v>325</v>
      </c>
      <c r="B44" s="11">
        <v>-78.423563000000001</v>
      </c>
      <c r="C44" s="11">
        <v>38.160882000000001</v>
      </c>
      <c r="D44" s="13">
        <v>1</v>
      </c>
      <c r="E44" s="1048" t="s">
        <v>274</v>
      </c>
      <c r="F44" s="1048" t="s">
        <v>275</v>
      </c>
      <c r="G44" s="1048"/>
      <c r="H44" s="1021" t="s">
        <v>276</v>
      </c>
      <c r="I44" s="1021" t="s">
        <v>277</v>
      </c>
      <c r="J44" s="1048"/>
      <c r="K44" s="11">
        <v>6.06</v>
      </c>
      <c r="L44" s="11"/>
      <c r="M44" s="11">
        <v>0</v>
      </c>
      <c r="N44" s="11">
        <v>1.75</v>
      </c>
      <c r="O44" s="7">
        <f>+M44/K44</f>
        <v>0</v>
      </c>
      <c r="P44" s="7">
        <f>+N44/K44</f>
        <v>0.28877887788778878</v>
      </c>
      <c r="Q44" s="8"/>
      <c r="R44" s="8"/>
      <c r="S44" s="8"/>
      <c r="T44" s="8">
        <f>IF(J43="TT",IF(F43="u/g detention",(43*0.9*(0.05+0.9*P44)*0.26*$K44*2.72/12)-AK42,(43*0.9*(0.05+0.9*P44)*0.26*$K44*2.72/12)-AK43),43*0.9*(0.05+0.9*P44)*0.26*$K44*2.72/12)</f>
        <v>4.2831921599999996</v>
      </c>
      <c r="U44" s="8">
        <f>T44*5.2</f>
        <v>22.272599231999997</v>
      </c>
      <c r="V44" s="8">
        <f>T44*420.9</f>
        <v>1802.7955801439998</v>
      </c>
      <c r="W44" s="8"/>
      <c r="X44" s="36" t="s">
        <v>278</v>
      </c>
      <c r="Y44" s="257">
        <v>39044</v>
      </c>
      <c r="Z44" s="257">
        <v>3.36</v>
      </c>
      <c r="AA44" s="258">
        <f>IF(Y44="NA", 0, (Y44/43560)*12/Z44)</f>
        <v>3.2011675193493372</v>
      </c>
      <c r="AB44" s="742" t="s">
        <v>296</v>
      </c>
      <c r="AC44" s="134" t="str">
        <f t="shared" si="1"/>
        <v>NA</v>
      </c>
      <c r="AD44" s="741">
        <f t="shared" si="0"/>
        <v>0</v>
      </c>
      <c r="AE44" s="134">
        <f>IF(ISNA(VLOOKUP(H44,'Efficiency Lookup'!$B$2:$C$38,2,FALSE)),0,(VLOOKUP(H44,'Efficiency Lookup'!$B$2:$C$38,2,FALSE)))</f>
        <v>0.65</v>
      </c>
      <c r="AF44" s="133">
        <f>T44*AE44</f>
        <v>2.7840749039999997</v>
      </c>
      <c r="AG44" s="134">
        <f>IF(ISNA(VLOOKUP(I44,'Efficiency Lookup'!$D$2:$E$35,2,FALSE)),0,VLOOKUP(I44,'Efficiency Lookup'!$D$2:$E$35,2,FALSE))</f>
        <v>0.45</v>
      </c>
      <c r="AH44" s="133">
        <f>T44*AG44</f>
        <v>1.9274364719999999</v>
      </c>
      <c r="AI44" s="443">
        <f>IF(X44="RR",IF((0.0304*(AA44^5)-0.2619*(AA44^4)+0.9161*(AA44^3)-1.6837*(AA44^2)+1.7072*AA44-0.0091)&gt;0.85,0.85,IF((0.0304*(AA44^5)-0.2619*(AA44^4)+0.9161*(AA44^3)-1.6837*(AA44^2)+1.7072*AA44-0.0091)&lt;0,0,(0.0304*(AA44^5)-0.2619*(AA44^4)+0.9161*(AA44^3)-1.6837*(AA44^2)+1.7072*AA44-0.0091))),IF((0.0239*(AA44^5)-0.2058*(AA44^4)+0.7198*(AA44^3)-1.3229*(AA44^2)+1.3414*AA44-0.0072)&gt;0.65,0.65,IF((0.0239*(AA44^5)-0.2058*(AA44^4)+0.7198*(AA44^3)-1.3229*(AA44^2)+1.3414*AA44-0.0072)&lt;0,0,(0.0239*(AA44^5)-0.2058*(AA44^4)+0.7198*(AA44^3)-1.3229*(AA44^2)+1.3414*AA44-0.0072))))</f>
        <v>0.65</v>
      </c>
      <c r="AJ44" s="313">
        <f>T44*AI44</f>
        <v>2.7840749039999997</v>
      </c>
      <c r="AK44" s="516">
        <f t="shared" si="2"/>
        <v>2.7840749039999997</v>
      </c>
      <c r="AL44" s="1100"/>
      <c r="AM44" s="1100"/>
      <c r="AN44" s="1112"/>
      <c r="AO44" s="138">
        <f>IF(ISNA(VLOOKUP(I44,'Efficiency Lookup'!$D$2:$G$35,3,FALSE)),0,VLOOKUP(I44,'Efficiency Lookup'!$D$2:$G$35,3,FALSE))</f>
        <v>0.2</v>
      </c>
      <c r="AP44" s="133">
        <f>U44*AO44</f>
        <v>4.4545198463999993</v>
      </c>
      <c r="AQ44" s="135">
        <f>IF(X44="RR",IF((0.0308*(AA44^5)-0.2562*(AA44^4)+0.8634*(AA44^3)-1.5285*(AA44^2)+1.501*AA44-0.013)&gt;0.7,0.7,IF((0.0308*(AA44^5)-0.2562*(AA44^4)+0.8634*(AA44^3)-1.5285*(AA44^2)+1.501*AA44-0.013)&lt;0,0,(0.0308*(AA44^5)-0.2562*(AA44^4)+0.8634*(AA44^3)-1.5285*(AA44^2)+1.501*AA44-0.013))),IF((0.0152*(AA44^5)-0.131*(AA44^4)+0.4581*(AA44^3)-0.8418*(AA44^2)+0.8536*AA44-0.0046)&gt;0.65,0.65,IF((0.0152*(AA44^5)-0.131*(AA44^4)+0.4581*(AA44^3)-0.8418*(AA44^2)+0.8536*AA44-0.0046)&lt;0,0,(0.0152*(AA44^5)-0.131*(AA44^4)+0.4581*(AA44^3)-0.8418*(AA44^2)+0.8536*AA44-0.0046))))</f>
        <v>0.4822317515890488</v>
      </c>
      <c r="AR44" s="34">
        <f>U44*AQ44</f>
        <v>10.740554540088262</v>
      </c>
      <c r="AS44" s="400">
        <f>IF(AK44=AF44,MAX(AP44,AR44),IF(AK44=AH44,AP44,AR44))</f>
        <v>10.740554540088262</v>
      </c>
      <c r="AT44" s="1100"/>
      <c r="AU44" s="1104"/>
      <c r="AV44" s="138">
        <f>IF(ISNA(VLOOKUP(I44,'Efficiency Lookup'!$D$2:$G$35,4,FALSE)),0,VLOOKUP(I44,'Efficiency Lookup'!$D$2:$G$35,4,FALSE))</f>
        <v>0.6</v>
      </c>
      <c r="AW44" s="133">
        <f>$V44*AV44</f>
        <v>1081.6773480863999</v>
      </c>
      <c r="AX44" s="135">
        <f>IF(X44="RR",IF((0.0326*(AA44^5)-0.2806*(AA44^4)+0.9816*(AA44^3)-1.8039*(AA44^2)+1.8292*AA44-0.0098)&gt;0.85,0.85,IF((0.0326*(AA44^5)-0.2806*(AA44^4)+0.9816*(AA44^3)-1.8039*(AA44^2)+1.8292*AA44-0.0098)&lt;0,0,(0.0326*(AA44^5)-0.2806*(AA44^4)+0.9816*(AA44^3)-1.8039*(AA44^2)+1.8292*AA44-0.0098))),IF((0.0304*(AA44^5)-0.2619*(AA44^4)+0.9161*(AA44^3)-1.6837*(AA44^2)+1.7072*AA44-0.0091)&gt;0.8,0.8,IF((0.0304*(AA44^5)-0.2619*(AA44^4)+0.9161*(AA44^3)-1.6837*(AA44^2)+1.7072*AA44-0.0091)&lt;0,0,(0.0304*(AA44^5)-0.2619*(AA44^4)+0.9161*(AA44^3)-1.6837*(AA44^2)+1.7072*AA44-0.0091))))</f>
        <v>0.8</v>
      </c>
      <c r="AY44" s="144">
        <f>$V44*AX44</f>
        <v>1442.2364641151999</v>
      </c>
      <c r="AZ44" s="400">
        <f>IF(AS44=AP44,AW44,AY44)</f>
        <v>1442.2364641151999</v>
      </c>
      <c r="BA44" s="1100"/>
      <c r="BB44" s="1104"/>
      <c r="BC44" s="1105"/>
      <c r="BD44" s="1106"/>
      <c r="BE44" s="1107"/>
      <c r="BF44" s="14"/>
      <c r="BG44" t="s">
        <v>326</v>
      </c>
    </row>
    <row r="45" spans="1:59" s="268" customFormat="1" ht="18.600000000000001" customHeight="1" x14ac:dyDescent="0.25">
      <c r="B45" s="271"/>
      <c r="C45" s="271"/>
      <c r="G45" s="277"/>
      <c r="H45" s="263"/>
      <c r="I45" s="263"/>
      <c r="Q45" s="264"/>
      <c r="S45" s="264"/>
      <c r="T45" s="264"/>
      <c r="U45" s="264"/>
      <c r="V45" s="264"/>
      <c r="W45" s="264"/>
      <c r="X45" s="264"/>
      <c r="Y45" s="265"/>
      <c r="Z45" s="265"/>
      <c r="AA45" s="264"/>
      <c r="AB45" s="743" t="s">
        <v>297</v>
      </c>
      <c r="AC45" s="751" t="str">
        <f t="shared" si="1"/>
        <v/>
      </c>
      <c r="AD45" s="303" t="str">
        <f t="shared" si="0"/>
        <v/>
      </c>
      <c r="AE45" s="266"/>
      <c r="AF45" s="266"/>
      <c r="AG45" s="264"/>
      <c r="AH45" s="274"/>
      <c r="AI45" s="264"/>
      <c r="AJ45" s="274"/>
      <c r="AK45" s="328" t="str">
        <f t="shared" si="2"/>
        <v/>
      </c>
      <c r="AO45" s="329"/>
      <c r="AP45" s="303"/>
      <c r="AQ45" s="303"/>
      <c r="AR45" s="303"/>
      <c r="AS45" s="326"/>
      <c r="AV45" s="329"/>
      <c r="AW45" s="303"/>
      <c r="AX45" s="303"/>
      <c r="AY45" s="285"/>
      <c r="AZ45" s="326"/>
      <c r="BB45" s="331"/>
      <c r="BE45" s="331"/>
    </row>
    <row r="46" spans="1:59" s="349" customFormat="1" ht="18.600000000000001" customHeight="1" x14ac:dyDescent="0.25">
      <c r="A46" s="340" t="s">
        <v>327</v>
      </c>
      <c r="B46" s="340"/>
      <c r="C46" s="340"/>
      <c r="D46" s="1110" t="s">
        <v>271</v>
      </c>
      <c r="E46" s="1125"/>
      <c r="F46" s="1038"/>
      <c r="G46" s="1038"/>
      <c r="H46" s="341"/>
      <c r="I46" s="341"/>
      <c r="J46" s="1038"/>
      <c r="K46" s="340">
        <v>11.16</v>
      </c>
      <c r="L46" s="340"/>
      <c r="M46" s="340">
        <v>0</v>
      </c>
      <c r="N46" s="342">
        <v>3</v>
      </c>
      <c r="O46" s="343">
        <f>+M46/K46</f>
        <v>0</v>
      </c>
      <c r="P46" s="343">
        <f>+N46/K46</f>
        <v>0.26881720430107525</v>
      </c>
      <c r="Q46" s="344">
        <f>43*0.9*(0.05+0.9*0.16)*0.26*$K46*2.72/12</f>
        <v>4.9378500288000007</v>
      </c>
      <c r="R46" s="366">
        <f>43*0.9*(0.05+0.9*O46)*0.26*$K46*2.72/12</f>
        <v>1.2726417600000004</v>
      </c>
      <c r="S46" s="344">
        <f>IF(J46="R",R46,Q46)</f>
        <v>4.9378500288000007</v>
      </c>
      <c r="T46" s="344">
        <f>43*0.9*(0.05+0.9*P46)*0.26*$K46*2.72/12</f>
        <v>7.4305857600000023</v>
      </c>
      <c r="U46" s="344">
        <f>T46*5.2</f>
        <v>38.639045952000011</v>
      </c>
      <c r="V46" s="344">
        <f>T46*420.9</f>
        <v>3127.5335463840006</v>
      </c>
      <c r="W46" s="344">
        <f>IF(P46 &lt; 16%, 0, IF(K46 &lt; 1, 0, T46-S46))</f>
        <v>2.4927357312000016</v>
      </c>
      <c r="X46" s="344"/>
      <c r="Y46" s="345"/>
      <c r="Z46" s="345"/>
      <c r="AA46" s="344"/>
      <c r="AB46" s="746" t="s">
        <v>297</v>
      </c>
      <c r="AC46" s="752" t="str">
        <f t="shared" si="1"/>
        <v/>
      </c>
      <c r="AD46" s="366" t="str">
        <f t="shared" si="0"/>
        <v/>
      </c>
      <c r="AE46" s="348"/>
      <c r="AF46" s="348"/>
      <c r="AG46" s="344"/>
      <c r="AH46" s="347"/>
      <c r="AI46" s="344"/>
      <c r="AJ46" s="347"/>
      <c r="AK46" s="364" t="str">
        <f t="shared" si="2"/>
        <v/>
      </c>
      <c r="AO46" s="600"/>
      <c r="AP46" s="366"/>
      <c r="AQ46" s="366"/>
      <c r="AR46" s="366"/>
      <c r="AS46" s="1049"/>
      <c r="AU46" s="365"/>
      <c r="AV46" s="600"/>
      <c r="AW46" s="366"/>
      <c r="AX46" s="366"/>
      <c r="AY46" s="603"/>
      <c r="AZ46" s="363"/>
      <c r="BA46" s="344"/>
      <c r="BB46" s="352"/>
      <c r="BE46" s="352"/>
      <c r="BF46" s="1035"/>
      <c r="BG46" s="349" t="s">
        <v>300</v>
      </c>
    </row>
    <row r="47" spans="1:59" s="349" customFormat="1" ht="18.600000000000001" customHeight="1" x14ac:dyDescent="0.25">
      <c r="A47" s="367" t="s">
        <v>328</v>
      </c>
      <c r="B47" s="340">
        <v>-78.423563000000001</v>
      </c>
      <c r="C47" s="340">
        <v>38.160882000000001</v>
      </c>
      <c r="D47" s="353">
        <v>1</v>
      </c>
      <c r="E47" s="354" t="s">
        <v>274</v>
      </c>
      <c r="F47" s="354" t="s">
        <v>275</v>
      </c>
      <c r="G47" s="354"/>
      <c r="H47" s="341" t="s">
        <v>276</v>
      </c>
      <c r="I47" s="341" t="s">
        <v>277</v>
      </c>
      <c r="J47" s="354"/>
      <c r="K47" s="340">
        <v>1.28</v>
      </c>
      <c r="L47" s="340"/>
      <c r="M47" s="340">
        <v>0</v>
      </c>
      <c r="N47" s="340">
        <v>0.94</v>
      </c>
      <c r="O47" s="343">
        <f>+M47/K47</f>
        <v>0</v>
      </c>
      <c r="P47" s="343">
        <f>+N47/K47</f>
        <v>0.73437499999999989</v>
      </c>
      <c r="Q47" s="344"/>
      <c r="R47" s="344"/>
      <c r="S47" s="344"/>
      <c r="T47" s="344">
        <f>IF(J46="TT",IF(F46="u/g detention",(43*0.9*(0.05+0.9*P47)*0.26*$K47*2.72/12)-AK45,(43*0.9*(0.05+0.9*P47)*0.26*$K47*2.72/12)-AK46),43*0.9*(0.05+0.9*P47)*0.26*$K47*2.72/12)</f>
        <v>2.0754552000000004</v>
      </c>
      <c r="U47" s="344">
        <f>T47*5.2</f>
        <v>10.792367040000002</v>
      </c>
      <c r="V47" s="344">
        <f>T47*420.9</f>
        <v>873.55909368000016</v>
      </c>
      <c r="W47" s="344"/>
      <c r="X47" s="368" t="s">
        <v>278</v>
      </c>
      <c r="Y47" s="345">
        <v>39044</v>
      </c>
      <c r="Z47" s="345">
        <v>3.36</v>
      </c>
      <c r="AA47" s="369">
        <f>IF(Y47="NA", 0, (Y47/43560)*12/Z47)</f>
        <v>3.2011675193493372</v>
      </c>
      <c r="AB47" s="745" t="s">
        <v>296</v>
      </c>
      <c r="AC47" s="359" t="str">
        <f t="shared" si="1"/>
        <v>NA</v>
      </c>
      <c r="AD47" s="753">
        <f t="shared" si="0"/>
        <v>0</v>
      </c>
      <c r="AE47" s="356">
        <f>IF(ISNA(VLOOKUP(H47,'Efficiency Lookup'!$B$2:$C$38,2,FALSE)),0,(VLOOKUP(H47,'Efficiency Lookup'!$B$2:$C$38,2,FALSE)))</f>
        <v>0.65</v>
      </c>
      <c r="AF47" s="348">
        <f>T47*AE47</f>
        <v>1.3490458800000003</v>
      </c>
      <c r="AG47" s="359">
        <f>IF(ISNA(VLOOKUP(I47,'Efficiency Lookup'!$D$2:$E$35,2,FALSE)),0,VLOOKUP(I47,'Efficiency Lookup'!$D$2:$E$35,2,FALSE))</f>
        <v>0.45</v>
      </c>
      <c r="AH47" s="347">
        <f>T47*AG47</f>
        <v>0.93395484000000017</v>
      </c>
      <c r="AI47" s="370">
        <f>IF(X47="RR",IF((0.0304*(AA47^5)-0.2619*(AA47^4)+0.9161*(AA47^3)-1.6837*(AA47^2)+1.7072*AA47-0.0091)&gt;0.85,0.85,IF((0.0304*(AA47^5)-0.2619*(AA47^4)+0.9161*(AA47^3)-1.6837*(AA47^2)+1.7072*AA47-0.0091)&lt;0,0,(0.0304*(AA47^5)-0.2619*(AA47^4)+0.9161*(AA47^3)-1.6837*(AA47^2)+1.7072*AA47-0.0091))),IF((0.0239*(AA47^5)-0.2058*(AA47^4)+0.7198*(AA47^3)-1.3229*(AA47^2)+1.3414*AA47-0.0072)&gt;0.65,0.65,IF((0.0239*(AA47^5)-0.2058*(AA47^4)+0.7198*(AA47^3)-1.3229*(AA47^2)+1.3414*AA47-0.0072)&lt;0,0,(0.0239*(AA47^5)-0.2058*(AA47^4)+0.7198*(AA47^3)-1.3229*(AA47^2)+1.3414*AA47-0.0072))))</f>
        <v>0.65</v>
      </c>
      <c r="AJ47" s="347">
        <f>T47*AI47</f>
        <v>1.3490458800000003</v>
      </c>
      <c r="AK47" s="363">
        <f t="shared" si="2"/>
        <v>1.3490458800000003</v>
      </c>
      <c r="AL47" s="1128">
        <f>SUM(AK47:AK50)</f>
        <v>4.8663722640000007</v>
      </c>
      <c r="AM47" s="1128">
        <f>AL47-W46</f>
        <v>2.3736365327999991</v>
      </c>
      <c r="AN47" s="1129">
        <f>AM47/AL47</f>
        <v>0.48776304072737475</v>
      </c>
      <c r="AO47" s="371">
        <f>IF(ISNA(VLOOKUP(I47,'Efficiency Lookup'!$D$2:$G$35,3,FALSE)),0,VLOOKUP(I47,'Efficiency Lookup'!$D$2:$G$35,3,FALSE))</f>
        <v>0.2</v>
      </c>
      <c r="AP47" s="347">
        <f>U47*AO47</f>
        <v>2.1584734080000003</v>
      </c>
      <c r="AQ47" s="356">
        <f>IF(X47="RR",IF((0.0308*(AA47^5)-0.2562*(AA47^4)+0.8634*(AA47^3)-1.5285*(AA47^2)+1.501*AA47-0.013)&gt;0.7,0.7,IF((0.0308*(AA47^5)-0.2562*(AA47^4)+0.8634*(AA47^3)-1.5285*(AA47^2)+1.501*AA47-0.013)&lt;0,0,(0.0308*(AA47^5)-0.2562*(AA47^4)+0.8634*(AA47^3)-1.5285*(AA47^2)+1.501*AA47-0.013))),IF((0.0152*(AA47^5)-0.131*(AA47^4)+0.4581*(AA47^3)-0.8418*(AA47^2)+0.8536*AA47-0.0046)&gt;0.65,0.65,IF((0.0152*(AA47^5)-0.131*(AA47^4)+0.4581*(AA47^3)-0.8418*(AA47^2)+0.8536*AA47-0.0046)&lt;0,0,(0.0152*(AA47^5)-0.131*(AA47^4)+0.4581*(AA47^3)-0.8418*(AA47^2)+0.8536*AA47-0.0046))))</f>
        <v>0.4822317515890488</v>
      </c>
      <c r="AR47" s="348">
        <f>U47*AQ47</f>
        <v>5.204422061491119</v>
      </c>
      <c r="AS47" s="402">
        <f>IF(AK47=AF47,MAX(AP47,AR47),IF(AK47=AH47,AP47,AR47))</f>
        <v>5.204422061491119</v>
      </c>
      <c r="AT47" s="1128">
        <f>SUM(AS47:AS50)</f>
        <v>14.435453803891122</v>
      </c>
      <c r="AU47" s="1127">
        <f>AT47*AN47</f>
        <v>7.0410808416654822</v>
      </c>
      <c r="AV47" s="371">
        <f>IF(ISNA(VLOOKUP(I47,'Efficiency Lookup'!$D$2:$G$35,4,FALSE)),0,VLOOKUP(I47,'Efficiency Lookup'!$D$2:$G$35,4,FALSE))</f>
        <v>0.6</v>
      </c>
      <c r="AW47" s="347">
        <f>$V47*AV47</f>
        <v>524.13545620800005</v>
      </c>
      <c r="AX47" s="356">
        <f>IF(X47="RR",IF((0.0326*(AA47^5)-0.2806*(AA47^4)+0.9816*(AA47^3)-1.8039*(AA47^2)+1.8292*AA47-0.0098)&gt;0.85,0.85,IF((0.0326*(AA47^5)-0.2806*(AA47^4)+0.9816*(AA47^3)-1.8039*(AA47^2)+1.8292*AA47-0.0098)&lt;0,0,(0.0326*(AA47^5)-0.2806*(AA47^4)+0.9816*(AA47^3)-1.8039*(AA47^2)+1.8292*AA47-0.0098))),IF((0.0304*(AA47^5)-0.2619*(AA47^4)+0.9161*(AA47^3)-1.6837*(AA47^2)+1.7072*AA47-0.0091)&gt;0.8,0.8,IF((0.0304*(AA47^5)-0.2619*(AA47^4)+0.9161*(AA47^3)-1.6837*(AA47^2)+1.7072*AA47-0.0091)&lt;0,0,(0.0304*(AA47^5)-0.2619*(AA47^4)+0.9161*(AA47^3)-1.6837*(AA47^2)+1.7072*AA47-0.0091))))</f>
        <v>0.8</v>
      </c>
      <c r="AY47" s="351">
        <f>$V47*AX47</f>
        <v>698.84727494400022</v>
      </c>
      <c r="AZ47" s="402">
        <f>IF(AK47=AJ47,AY47,IF(AK47=AH47,AW47,IF(AP47=AR47,MAX(AW47,AY47),IF(AS47=AP47,AW47,AY47))))</f>
        <v>698.84727494400022</v>
      </c>
      <c r="BA47" s="1128">
        <f>SUM(AZ47:AZ50)</f>
        <v>2132.3481481224003</v>
      </c>
      <c r="BB47" s="1127">
        <f>BA47*AN47</f>
        <v>1040.0806166175685</v>
      </c>
      <c r="BC47" s="1157">
        <f>AM47</f>
        <v>2.3736365327999991</v>
      </c>
      <c r="BD47" s="1156">
        <f>AU47</f>
        <v>7.0410808416654822</v>
      </c>
      <c r="BE47" s="1126">
        <f>BB47</f>
        <v>1040.0806166175685</v>
      </c>
      <c r="BF47" s="1035"/>
      <c r="BG47" s="349" t="s">
        <v>329</v>
      </c>
    </row>
    <row r="48" spans="1:59" s="349" customFormat="1" ht="18.600000000000001" customHeight="1" x14ac:dyDescent="0.25">
      <c r="A48" s="367" t="s">
        <v>330</v>
      </c>
      <c r="B48" s="340">
        <v>-78.422963999999993</v>
      </c>
      <c r="C48" s="340">
        <v>38.161841000000003</v>
      </c>
      <c r="D48" s="353">
        <v>1</v>
      </c>
      <c r="E48" s="354" t="s">
        <v>331</v>
      </c>
      <c r="F48" s="354" t="s">
        <v>332</v>
      </c>
      <c r="G48" s="354"/>
      <c r="H48" s="341" t="s">
        <v>333</v>
      </c>
      <c r="I48" s="341" t="s">
        <v>334</v>
      </c>
      <c r="J48" s="354"/>
      <c r="K48" s="340">
        <v>1.98</v>
      </c>
      <c r="L48" s="340"/>
      <c r="M48" s="340">
        <v>0</v>
      </c>
      <c r="N48" s="340">
        <v>0.2</v>
      </c>
      <c r="O48" s="343">
        <f>+M48/K48</f>
        <v>0</v>
      </c>
      <c r="P48" s="343">
        <f>+N48/K48</f>
        <v>0.10101010101010102</v>
      </c>
      <c r="Q48" s="344"/>
      <c r="R48" s="344"/>
      <c r="S48" s="344"/>
      <c r="T48" s="344">
        <f>IF(J47="TT",IF(F47="u/g detention",(43*0.9*(0.05+0.9*P48)*0.26*$K48*2.72/12)-AK46,(43*0.9*(0.05+0.9*P48)*0.26*$K48*2.72/12)-AK47),43*0.9*(0.05+0.9*P48)*0.26*$K48*2.72/12)</f>
        <v>0.63632088000000009</v>
      </c>
      <c r="U48" s="344">
        <f>T48*5.2</f>
        <v>3.3088685760000005</v>
      </c>
      <c r="V48" s="344">
        <f>T48*420.9</f>
        <v>267.82745839200004</v>
      </c>
      <c r="W48" s="344"/>
      <c r="X48" s="368" t="s">
        <v>295</v>
      </c>
      <c r="Y48" s="345" t="s">
        <v>295</v>
      </c>
      <c r="Z48" s="345">
        <v>0.2</v>
      </c>
      <c r="AA48" s="369">
        <f>IF(Y48="NA", 0, (Y48/43560)*12/Z48)</f>
        <v>0</v>
      </c>
      <c r="AB48" s="745" t="s">
        <v>279</v>
      </c>
      <c r="AC48" s="359" t="str">
        <f t="shared" si="1"/>
        <v>NA</v>
      </c>
      <c r="AD48" s="753">
        <f t="shared" ref="AD48:AD87" si="3">IF(AC48="NA",0,IF(AC48="","",T48*AC48))</f>
        <v>0</v>
      </c>
      <c r="AE48" s="359">
        <f>IF(ISNA(VLOOKUP(H48,'Efficiency Lookup'!$B$2:$C$38,2,FALSE)),0,(VLOOKUP(H48,'Efficiency Lookup'!$B$2:$C$38,2,FALSE)))</f>
        <v>0.5</v>
      </c>
      <c r="AF48" s="347">
        <f>T48*AE48</f>
        <v>0.31816044000000004</v>
      </c>
      <c r="AG48" s="356">
        <f>IF(ISNA(VLOOKUP(I48,'Efficiency Lookup'!$D$2:$E$35,2,FALSE)),0,VLOOKUP(I48,'Efficiency Lookup'!$D$2:$E$35,2,FALSE))</f>
        <v>0.75</v>
      </c>
      <c r="AH48" s="348">
        <f>T48*AG48</f>
        <v>0.47724066000000009</v>
      </c>
      <c r="AI48" s="370">
        <f>IF(X48="RR",IF((0.0304*(AA48^5)-0.2619*(AA48^4)+0.9161*(AA48^3)-1.6837*(AA48^2)+1.7072*AA48-0.0091)&gt;0.85,0.85,IF((0.0304*(AA48^5)-0.2619*(AA48^4)+0.9161*(AA48^3)-1.6837*(AA48^2)+1.7072*AA48-0.0091)&lt;0,0,(0.0304*(AA48^5)-0.2619*(AA48^4)+0.9161*(AA48^3)-1.6837*(AA48^2)+1.7072*AA48-0.0091))),IF((0.0239*(AA48^5)-0.2058*(AA48^4)+0.7198*(AA48^3)-1.3229*(AA48^2)+1.3414*AA48-0.0072)&gt;0.65,0.65,IF((0.0239*(AA48^5)-0.2058*(AA48^4)+0.7198*(AA48^3)-1.3229*(AA48^2)+1.3414*AA48-0.0072)&lt;0,0,(0.0239*(AA48^5)-0.2058*(AA48^4)+0.7198*(AA48^3)-1.3229*(AA48^2)+1.3414*AA48-0.0072))))</f>
        <v>0</v>
      </c>
      <c r="AJ48" s="347">
        <f>T48*AI48</f>
        <v>0</v>
      </c>
      <c r="AK48" s="363">
        <f t="shared" si="2"/>
        <v>0.47724066000000009</v>
      </c>
      <c r="AL48" s="1128"/>
      <c r="AM48" s="1128"/>
      <c r="AN48" s="1129"/>
      <c r="AO48" s="355">
        <f>IF(ISNA(VLOOKUP(I48,'Efficiency Lookup'!$D$2:$G$35,3,FALSE)),0,VLOOKUP(I48,'Efficiency Lookup'!$D$2:$G$35,3,FALSE))</f>
        <v>0.7</v>
      </c>
      <c r="AP48" s="348">
        <f>U48*AO48</f>
        <v>2.3162080032000003</v>
      </c>
      <c r="AQ48" s="359">
        <f>IF(X48="RR",IF((0.0308*(AA48^5)-0.2562*(AA48^4)+0.8634*(AA48^3)-1.5285*(AA48^2)+1.501*AA48-0.013)&gt;0.7,0.7,IF((0.0308*(AA48^5)-0.2562*(AA48^4)+0.8634*(AA48^3)-1.5285*(AA48^2)+1.501*AA48-0.013)&lt;0,0,(0.0308*(AA48^5)-0.2562*(AA48^4)+0.8634*(AA48^3)-1.5285*(AA48^2)+1.501*AA48-0.013))),IF((0.0152*(AA48^5)-0.131*(AA48^4)+0.4581*(AA48^3)-0.8418*(AA48^2)+0.8536*AA48-0.0046)&gt;0.65,0.65,IF((0.0152*(AA48^5)-0.131*(AA48^4)+0.4581*(AA48^3)-0.8418*(AA48^2)+0.8536*AA48-0.0046)&lt;0,0,(0.0152*(AA48^5)-0.131*(AA48^4)+0.4581*(AA48^3)-0.8418*(AA48^2)+0.8536*AA48-0.0046))))</f>
        <v>0</v>
      </c>
      <c r="AR48" s="347">
        <f>U48*AQ48</f>
        <v>0</v>
      </c>
      <c r="AS48" s="402">
        <f>IF(AK48=AF48,MAX(AP48,AR48),IF(AK48=AH48,AP48,AR48))</f>
        <v>2.3162080032000003</v>
      </c>
      <c r="AT48" s="1128"/>
      <c r="AU48" s="1127"/>
      <c r="AV48" s="355">
        <f>IF(ISNA(VLOOKUP(I48,'Efficiency Lookup'!$D$2:$G$35,4,FALSE)),0,VLOOKUP(I48,'Efficiency Lookup'!$D$2:$G$35,4,FALSE))</f>
        <v>0.8</v>
      </c>
      <c r="AW48" s="348">
        <f>$V48*AV48</f>
        <v>214.26196671360003</v>
      </c>
      <c r="AX48" s="359">
        <f>IF(X48="RR",IF((0.0326*(AA48^5)-0.2806*(AA48^4)+0.9816*(AA48^3)-1.8039*(AA48^2)+1.8292*AA48-0.0098)&gt;0.85,0.85,IF((0.0326*(AA48^5)-0.2806*(AA48^4)+0.9816*(AA48^3)-1.8039*(AA48^2)+1.8292*AA48-0.0098)&lt;0,0,(0.0326*(AA48^5)-0.2806*(AA48^4)+0.9816*(AA48^3)-1.8039*(AA48^2)+1.8292*AA48-0.0098))),IF((0.0304*(AA48^5)-0.2619*(AA48^4)+0.9161*(AA48^3)-1.6837*(AA48^2)+1.7072*AA48-0.0091)&gt;0.8,0.8,IF((0.0304*(AA48^5)-0.2619*(AA48^4)+0.9161*(AA48^3)-1.6837*(AA48^2)+1.7072*AA48-0.0091)&lt;0,0,(0.0304*(AA48^5)-0.2619*(AA48^4)+0.9161*(AA48^3)-1.6837*(AA48^2)+1.7072*AA48-0.0091))))</f>
        <v>0</v>
      </c>
      <c r="AY48" s="360">
        <f>$V48*AX48</f>
        <v>0</v>
      </c>
      <c r="AZ48" s="402">
        <f>IF(AK48=AJ48,AY48,IF(AK48=AH48,AW48,IF(AP48=AR48,MAX(AW48,AY48),IF(AS48=AP48,AW48,AY48))))</f>
        <v>214.26196671360003</v>
      </c>
      <c r="BA48" s="1128"/>
      <c r="BB48" s="1127"/>
      <c r="BC48" s="1157"/>
      <c r="BD48" s="1156"/>
      <c r="BE48" s="1126"/>
      <c r="BF48" s="1035"/>
      <c r="BG48" s="349" t="s">
        <v>326</v>
      </c>
    </row>
    <row r="49" spans="1:63" s="349" customFormat="1" ht="18.600000000000001" customHeight="1" x14ac:dyDescent="0.25">
      <c r="A49" s="367" t="s">
        <v>335</v>
      </c>
      <c r="B49" s="340">
        <v>-78.422337999999996</v>
      </c>
      <c r="C49" s="340">
        <v>38.163663</v>
      </c>
      <c r="D49" s="353">
        <v>1</v>
      </c>
      <c r="E49" s="354" t="s">
        <v>274</v>
      </c>
      <c r="F49" s="354" t="s">
        <v>275</v>
      </c>
      <c r="G49" s="354"/>
      <c r="H49" s="341" t="s">
        <v>276</v>
      </c>
      <c r="I49" s="341" t="s">
        <v>277</v>
      </c>
      <c r="J49" s="354"/>
      <c r="K49" s="340">
        <v>4.6100000000000003</v>
      </c>
      <c r="L49" s="340"/>
      <c r="M49" s="340">
        <v>0</v>
      </c>
      <c r="N49" s="340">
        <v>1.55</v>
      </c>
      <c r="O49" s="343">
        <f>+M49/K49</f>
        <v>0</v>
      </c>
      <c r="P49" s="343">
        <f>+N49/K49</f>
        <v>0.33622559652928413</v>
      </c>
      <c r="Q49" s="344"/>
      <c r="R49" s="344"/>
      <c r="S49" s="344"/>
      <c r="T49" s="344">
        <f>IF(J48="TT",IF(F48="u/g detention",(43*0.9*(0.05+0.9*P49)*0.26*$K49*2.72/12)-AK47,(43*0.9*(0.05+0.9*P49)*0.26*$K49*2.72/12)-AK48),43*0.9*(0.05+0.9*P49)*0.26*$K49*2.72/12)</f>
        <v>3.7073103600000006</v>
      </c>
      <c r="U49" s="344">
        <f>T49*5.2</f>
        <v>19.278013872000002</v>
      </c>
      <c r="V49" s="344">
        <f>T49*420.9</f>
        <v>1560.4069305240002</v>
      </c>
      <c r="W49" s="344"/>
      <c r="X49" s="368" t="s">
        <v>278</v>
      </c>
      <c r="Y49" s="345" t="s">
        <v>295</v>
      </c>
      <c r="Z49" s="345" t="s">
        <v>295</v>
      </c>
      <c r="AA49" s="369">
        <f>IF(Y49="NA", 0, (Y49/43560)*12/Z49)</f>
        <v>0</v>
      </c>
      <c r="AB49" s="745" t="s">
        <v>279</v>
      </c>
      <c r="AC49" s="359" t="str">
        <f t="shared" si="1"/>
        <v>NA</v>
      </c>
      <c r="AD49" s="753">
        <f t="shared" si="3"/>
        <v>0</v>
      </c>
      <c r="AE49" s="356">
        <f>IF(ISNA(VLOOKUP(H49,'Efficiency Lookup'!$B$2:$C$38,2,FALSE)),0,(VLOOKUP(H49,'Efficiency Lookup'!$B$2:$C$38,2,FALSE)))</f>
        <v>0.65</v>
      </c>
      <c r="AF49" s="348">
        <f>T49*AE49</f>
        <v>2.4097517340000003</v>
      </c>
      <c r="AG49" s="359">
        <f>IF(ISNA(VLOOKUP(I49,'Efficiency Lookup'!$D$2:$E$35,2,FALSE)),0,VLOOKUP(I49,'Efficiency Lookup'!$D$2:$E$35,2,FALSE))</f>
        <v>0.45</v>
      </c>
      <c r="AH49" s="347">
        <f>T49*AG49</f>
        <v>1.6682896620000003</v>
      </c>
      <c r="AI49" s="370">
        <f>IF(X49="RR",IF((0.0304*(AA49^5)-0.2619*(AA49^4)+0.9161*(AA49^3)-1.6837*(AA49^2)+1.7072*AA49-0.0091)&gt;0.85,0.85,IF((0.0304*(AA49^5)-0.2619*(AA49^4)+0.9161*(AA49^3)-1.6837*(AA49^2)+1.7072*AA49-0.0091)&lt;0,0,(0.0304*(AA49^5)-0.2619*(AA49^4)+0.9161*(AA49^3)-1.6837*(AA49^2)+1.7072*AA49-0.0091))),IF((0.0239*(AA49^5)-0.2058*(AA49^4)+0.7198*(AA49^3)-1.3229*(AA49^2)+1.3414*AA49-0.0072)&gt;0.65,0.65,IF((0.0239*(AA49^5)-0.2058*(AA49^4)+0.7198*(AA49^3)-1.3229*(AA49^2)+1.3414*AA49-0.0072)&lt;0,0,(0.0239*(AA49^5)-0.2058*(AA49^4)+0.7198*(AA49^3)-1.3229*(AA49^2)+1.3414*AA49-0.0072))))</f>
        <v>0</v>
      </c>
      <c r="AJ49" s="347">
        <f>T49*AI49</f>
        <v>0</v>
      </c>
      <c r="AK49" s="363">
        <f t="shared" si="2"/>
        <v>2.4097517340000003</v>
      </c>
      <c r="AL49" s="1128"/>
      <c r="AM49" s="1128"/>
      <c r="AN49" s="1129"/>
      <c r="AO49" s="355">
        <f>IF(ISNA(VLOOKUP(I49,'Efficiency Lookup'!$D$2:$G$35,3,FALSE)),0,VLOOKUP(I49,'Efficiency Lookup'!$D$2:$G$35,3,FALSE))</f>
        <v>0.2</v>
      </c>
      <c r="AP49" s="348">
        <f>U49*AO49</f>
        <v>3.8556027744000008</v>
      </c>
      <c r="AQ49" s="359">
        <f>IF(X49="RR",IF((0.0308*(AA49^5)-0.2562*(AA49^4)+0.8634*(AA49^3)-1.5285*(AA49^2)+1.501*AA49-0.013)&gt;0.7,0.7,IF((0.0308*(AA49^5)-0.2562*(AA49^4)+0.8634*(AA49^3)-1.5285*(AA49^2)+1.501*AA49-0.013)&lt;0,0,(0.0308*(AA49^5)-0.2562*(AA49^4)+0.8634*(AA49^3)-1.5285*(AA49^2)+1.501*AA49-0.013))),IF((0.0152*(AA49^5)-0.131*(AA49^4)+0.4581*(AA49^3)-0.8418*(AA49^2)+0.8536*AA49-0.0046)&gt;0.65,0.65,IF((0.0152*(AA49^5)-0.131*(AA49^4)+0.4581*(AA49^3)-0.8418*(AA49^2)+0.8536*AA49-0.0046)&lt;0,0,(0.0152*(AA49^5)-0.131*(AA49^4)+0.4581*(AA49^3)-0.8418*(AA49^2)+0.8536*AA49-0.0046))))</f>
        <v>0</v>
      </c>
      <c r="AR49" s="347">
        <f>U49*AQ49</f>
        <v>0</v>
      </c>
      <c r="AS49" s="402">
        <f>IF(AK49=AF49,MAX(AP49,AR49),IF(AK49=AH49,AP49,AR49))</f>
        <v>3.8556027744000008</v>
      </c>
      <c r="AT49" s="1128"/>
      <c r="AU49" s="1127"/>
      <c r="AV49" s="355">
        <f>IF(ISNA(VLOOKUP(I49,'Efficiency Lookup'!$D$2:$G$35,4,FALSE)),0,VLOOKUP(I49,'Efficiency Lookup'!$D$2:$G$35,4,FALSE))</f>
        <v>0.6</v>
      </c>
      <c r="AW49" s="348">
        <f>$V49*AV49</f>
        <v>936.24415831440012</v>
      </c>
      <c r="AX49" s="359">
        <f>IF(X49="RR",IF((0.0326*(AA49^5)-0.2806*(AA49^4)+0.9816*(AA49^3)-1.8039*(AA49^2)+1.8292*AA49-0.0098)&gt;0.85,0.85,IF((0.0326*(AA49^5)-0.2806*(AA49^4)+0.9816*(AA49^3)-1.8039*(AA49^2)+1.8292*AA49-0.0098)&lt;0,0,(0.0326*(AA49^5)-0.2806*(AA49^4)+0.9816*(AA49^3)-1.8039*(AA49^2)+1.8292*AA49-0.0098))),IF((0.0304*(AA49^5)-0.2619*(AA49^4)+0.9161*(AA49^3)-1.6837*(AA49^2)+1.7072*AA49-0.0091)&gt;0.8,0.8,IF((0.0304*(AA49^5)-0.2619*(AA49^4)+0.9161*(AA49^3)-1.6837*(AA49^2)+1.7072*AA49-0.0091)&lt;0,0,(0.0304*(AA49^5)-0.2619*(AA49^4)+0.9161*(AA49^3)-1.6837*(AA49^2)+1.7072*AA49-0.0091))))</f>
        <v>0</v>
      </c>
      <c r="AY49" s="360">
        <f>$V49*AX49</f>
        <v>0</v>
      </c>
      <c r="AZ49" s="402">
        <f>IF(AK49=AJ49,AY49,IF(AK49=AH49,AW49,IF(AP49=AR49,MAX(AW49,AY49),IF(AS49=AP49,AW49,AY49))))</f>
        <v>936.24415831440012</v>
      </c>
      <c r="BA49" s="1128"/>
      <c r="BB49" s="1127"/>
      <c r="BC49" s="1157"/>
      <c r="BD49" s="1156"/>
      <c r="BE49" s="1126"/>
      <c r="BF49" s="1035"/>
      <c r="BG49" s="349" t="s">
        <v>329</v>
      </c>
    </row>
    <row r="50" spans="1:63" s="349" customFormat="1" ht="18.600000000000001" customHeight="1" x14ac:dyDescent="0.25">
      <c r="A50" s="367" t="s">
        <v>336</v>
      </c>
      <c r="B50" s="340">
        <v>-78.421880000000002</v>
      </c>
      <c r="C50" s="340">
        <v>38.164706000000002</v>
      </c>
      <c r="D50" s="353">
        <v>1</v>
      </c>
      <c r="E50" s="354" t="s">
        <v>331</v>
      </c>
      <c r="F50" s="354" t="s">
        <v>332</v>
      </c>
      <c r="G50" s="354"/>
      <c r="H50" s="341" t="s">
        <v>337</v>
      </c>
      <c r="I50" s="341" t="s">
        <v>334</v>
      </c>
      <c r="J50" s="354"/>
      <c r="K50" s="340">
        <v>1.79</v>
      </c>
      <c r="L50" s="340"/>
      <c r="M50" s="340">
        <v>0</v>
      </c>
      <c r="N50" s="340">
        <v>0.31</v>
      </c>
      <c r="O50" s="343">
        <f>+M50/K50</f>
        <v>0</v>
      </c>
      <c r="P50" s="343">
        <f>+N50/K50</f>
        <v>0.17318435754189943</v>
      </c>
      <c r="Q50" s="344"/>
      <c r="R50" s="344"/>
      <c r="S50" s="344"/>
      <c r="T50" s="344">
        <f>IF(J49="TT",IF(F49="u/g detention",(43*0.9*(0.05+0.9*P50)*0.26*$K50*2.72/12)-AK48,(43*0.9*(0.05+0.9*P50)*0.26*$K50*2.72/12)-AK49),43*0.9*(0.05+0.9*P50)*0.26*$K50*2.72/12)</f>
        <v>0.84044532000000016</v>
      </c>
      <c r="U50" s="344">
        <f>T50*5.2</f>
        <v>4.3703156640000014</v>
      </c>
      <c r="V50" s="344">
        <f>T50*420.9</f>
        <v>353.74343518800003</v>
      </c>
      <c r="W50" s="344"/>
      <c r="X50" s="368" t="s">
        <v>295</v>
      </c>
      <c r="Y50" s="345" t="s">
        <v>295</v>
      </c>
      <c r="Z50" s="345" t="s">
        <v>295</v>
      </c>
      <c r="AA50" s="369">
        <f>IF(Y50="NA", 0, (Y50/43560)*12/Z50)</f>
        <v>0</v>
      </c>
      <c r="AB50" s="745" t="s">
        <v>279</v>
      </c>
      <c r="AC50" s="359" t="str">
        <f t="shared" si="1"/>
        <v>NA</v>
      </c>
      <c r="AD50" s="753">
        <f t="shared" si="3"/>
        <v>0</v>
      </c>
      <c r="AE50" s="359">
        <f>IF(ISNA(VLOOKUP(H50,'Efficiency Lookup'!$B$2:$C$38,2,FALSE)),0,(VLOOKUP(H50,'Efficiency Lookup'!$B$2:$C$38,2,FALSE)))</f>
        <v>0.15</v>
      </c>
      <c r="AF50" s="347">
        <f>T50*AE50</f>
        <v>0.12606679800000001</v>
      </c>
      <c r="AG50" s="356">
        <f>IF(ISNA(VLOOKUP(I50,'Efficiency Lookup'!$D$2:$E$35,2,FALSE)),0,VLOOKUP(I50,'Efficiency Lookup'!$D$2:$E$35,2,FALSE))</f>
        <v>0.75</v>
      </c>
      <c r="AH50" s="348">
        <f>T50*AG50</f>
        <v>0.63033399000000012</v>
      </c>
      <c r="AI50" s="370">
        <f>IF(X50="RR",IF((0.0304*(AA50^5)-0.2619*(AA50^4)+0.9161*(AA50^3)-1.6837*(AA50^2)+1.7072*AA50-0.0091)&gt;0.85,0.85,IF((0.0304*(AA50^5)-0.2619*(AA50^4)+0.9161*(AA50^3)-1.6837*(AA50^2)+1.7072*AA50-0.0091)&lt;0,0,(0.0304*(AA50^5)-0.2619*(AA50^4)+0.9161*(AA50^3)-1.6837*(AA50^2)+1.7072*AA50-0.0091))),IF((0.0239*(AA50^5)-0.2058*(AA50^4)+0.7198*(AA50^3)-1.3229*(AA50^2)+1.3414*AA50-0.0072)&gt;0.65,0.65,IF((0.0239*(AA50^5)-0.2058*(AA50^4)+0.7198*(AA50^3)-1.3229*(AA50^2)+1.3414*AA50-0.0072)&lt;0,0,(0.0239*(AA50^5)-0.2058*(AA50^4)+0.7198*(AA50^3)-1.3229*(AA50^2)+1.3414*AA50-0.0072))))</f>
        <v>0</v>
      </c>
      <c r="AJ50" s="347">
        <f>T50*AI50</f>
        <v>0</v>
      </c>
      <c r="AK50" s="363">
        <f t="shared" si="2"/>
        <v>0.63033399000000012</v>
      </c>
      <c r="AL50" s="1128"/>
      <c r="AM50" s="1128"/>
      <c r="AN50" s="1129"/>
      <c r="AO50" s="355">
        <f>IF(ISNA(VLOOKUP(I50,'Efficiency Lookup'!$D$2:$G$35,3,FALSE)),0,VLOOKUP(I50,'Efficiency Lookup'!$D$2:$G$35,3,FALSE))</f>
        <v>0.7</v>
      </c>
      <c r="AP50" s="348">
        <f>U50*AO50</f>
        <v>3.0592209648000006</v>
      </c>
      <c r="AQ50" s="359">
        <f>IF(X50="RR",IF((0.0308*(AA50^5)-0.2562*(AA50^4)+0.8634*(AA50^3)-1.5285*(AA50^2)+1.501*AA50-0.013)&gt;0.7,0.7,IF((0.0308*(AA50^5)-0.2562*(AA50^4)+0.8634*(AA50^3)-1.5285*(AA50^2)+1.501*AA50-0.013)&lt;0,0,(0.0308*(AA50^5)-0.2562*(AA50^4)+0.8634*(AA50^3)-1.5285*(AA50^2)+1.501*AA50-0.013))),IF((0.0152*(AA50^5)-0.131*(AA50^4)+0.4581*(AA50^3)-0.8418*(AA50^2)+0.8536*AA50-0.0046)&gt;0.65,0.65,IF((0.0152*(AA50^5)-0.131*(AA50^4)+0.4581*(AA50^3)-0.8418*(AA50^2)+0.8536*AA50-0.0046)&lt;0,0,(0.0152*(AA50^5)-0.131*(AA50^4)+0.4581*(AA50^3)-0.8418*(AA50^2)+0.8536*AA50-0.0046))))</f>
        <v>0</v>
      </c>
      <c r="AR50" s="347">
        <f>U50*AQ50</f>
        <v>0</v>
      </c>
      <c r="AS50" s="402">
        <f>IF(AK50=AF50,MAX(AP50,AR50),IF(AK50=AH50,AP50,AR50))</f>
        <v>3.0592209648000006</v>
      </c>
      <c r="AT50" s="1128"/>
      <c r="AU50" s="1127"/>
      <c r="AV50" s="355">
        <f>IF(ISNA(VLOOKUP(I50,'Efficiency Lookup'!$D$2:$G$35,4,FALSE)),0,VLOOKUP(I50,'Efficiency Lookup'!$D$2:$G$35,4,FALSE))</f>
        <v>0.8</v>
      </c>
      <c r="AW50" s="348">
        <f>$V50*AV50</f>
        <v>282.99474815040003</v>
      </c>
      <c r="AX50" s="359">
        <f>IF(X50="RR",IF((0.0326*(AA50^5)-0.2806*(AA50^4)+0.9816*(AA50^3)-1.8039*(AA50^2)+1.8292*AA50-0.0098)&gt;0.85,0.85,IF((0.0326*(AA50^5)-0.2806*(AA50^4)+0.9816*(AA50^3)-1.8039*(AA50^2)+1.8292*AA50-0.0098)&lt;0,0,(0.0326*(AA50^5)-0.2806*(AA50^4)+0.9816*(AA50^3)-1.8039*(AA50^2)+1.8292*AA50-0.0098))),IF((0.0304*(AA50^5)-0.2619*(AA50^4)+0.9161*(AA50^3)-1.6837*(AA50^2)+1.7072*AA50-0.0091)&gt;0.8,0.8,IF((0.0304*(AA50^5)-0.2619*(AA50^4)+0.9161*(AA50^3)-1.6837*(AA50^2)+1.7072*AA50-0.0091)&lt;0,0,(0.0304*(AA50^5)-0.2619*(AA50^4)+0.9161*(AA50^3)-1.6837*(AA50^2)+1.7072*AA50-0.0091))))</f>
        <v>0</v>
      </c>
      <c r="AY50" s="360">
        <f>$V50*AX50</f>
        <v>0</v>
      </c>
      <c r="AZ50" s="402">
        <f>IF(AK50=AJ50,AY50,IF(AK50=AH50,AW50,IF(AP50=AR50,MAX(AW50,AY50),IF(AS50=AP50,AW50,AY50))))</f>
        <v>282.99474815040003</v>
      </c>
      <c r="BA50" s="1128"/>
      <c r="BB50" s="1127"/>
      <c r="BC50" s="1157"/>
      <c r="BD50" s="1156"/>
      <c r="BE50" s="1126"/>
      <c r="BF50" s="1035"/>
      <c r="BG50" s="349" t="s">
        <v>326</v>
      </c>
    </row>
    <row r="51" spans="1:63" s="268" customFormat="1" ht="18.600000000000001" customHeight="1" x14ac:dyDescent="0.25">
      <c r="B51" s="271"/>
      <c r="C51" s="271"/>
      <c r="G51" s="277"/>
      <c r="H51" s="263"/>
      <c r="I51" s="263"/>
      <c r="Q51" s="264"/>
      <c r="S51" s="264"/>
      <c r="T51" s="264"/>
      <c r="U51" s="264"/>
      <c r="V51" s="264"/>
      <c r="W51" s="264"/>
      <c r="X51" s="264"/>
      <c r="Y51" s="265"/>
      <c r="Z51" s="265"/>
      <c r="AA51" s="264"/>
      <c r="AB51" s="743" t="s">
        <v>297</v>
      </c>
      <c r="AC51" s="751" t="str">
        <f t="shared" si="1"/>
        <v/>
      </c>
      <c r="AD51" s="303" t="str">
        <f t="shared" si="3"/>
        <v/>
      </c>
      <c r="AE51" s="266"/>
      <c r="AF51" s="266"/>
      <c r="AG51" s="264"/>
      <c r="AH51" s="274"/>
      <c r="AI51" s="264"/>
      <c r="AJ51" s="274"/>
      <c r="AK51" s="328" t="str">
        <f t="shared" si="2"/>
        <v/>
      </c>
      <c r="AO51" s="329"/>
      <c r="AP51" s="303"/>
      <c r="AQ51" s="303"/>
      <c r="AR51" s="303"/>
      <c r="AS51" s="326"/>
      <c r="AV51" s="329"/>
      <c r="AW51" s="303"/>
      <c r="AX51" s="303"/>
      <c r="AY51" s="285"/>
      <c r="AZ51" s="326"/>
      <c r="BB51" s="331"/>
      <c r="BE51" s="331"/>
    </row>
    <row r="52" spans="1:63" s="349" customFormat="1" ht="18.600000000000001" customHeight="1" x14ac:dyDescent="0.25">
      <c r="A52" s="340" t="s">
        <v>327</v>
      </c>
      <c r="B52" s="340"/>
      <c r="C52" s="340"/>
      <c r="D52" s="1110" t="s">
        <v>271</v>
      </c>
      <c r="E52" s="1125"/>
      <c r="F52" s="1038"/>
      <c r="G52" s="1038"/>
      <c r="H52" s="341"/>
      <c r="I52" s="341"/>
      <c r="J52" s="1038"/>
      <c r="K52" s="340">
        <v>12.55</v>
      </c>
      <c r="L52" s="340"/>
      <c r="M52" s="340">
        <v>0</v>
      </c>
      <c r="N52" s="342">
        <v>2.4700000000000002</v>
      </c>
      <c r="O52" s="343">
        <f>+M52/K52</f>
        <v>0</v>
      </c>
      <c r="P52" s="343">
        <f>+N52/K52</f>
        <v>0.19681274900398407</v>
      </c>
      <c r="Q52" s="344">
        <f>43*0.9*(0.05+0.9*0.16)*0.26*$K52*2.72/12</f>
        <v>5.5528689840000007</v>
      </c>
      <c r="R52" s="366">
        <f>43*0.9*(0.05+0.9*O52)*0.26*$K52*2.72/12</f>
        <v>1.4311518000000005</v>
      </c>
      <c r="S52" s="344">
        <f>IF(J52="R",R52,Q52)</f>
        <v>5.5528689840000007</v>
      </c>
      <c r="T52" s="344">
        <f>43*0.9*(0.05+0.9*P52)*0.26*$K52*2.72/12</f>
        <v>6.5011923600000037</v>
      </c>
      <c r="U52" s="344">
        <f>T52*5.2</f>
        <v>33.806200272000019</v>
      </c>
      <c r="V52" s="344">
        <f>T52*420.9</f>
        <v>2736.3518643240013</v>
      </c>
      <c r="W52" s="344">
        <f>IF(P52 &lt; 16%, 0, IF(K52 &lt; 1, 0, T52-S52))</f>
        <v>0.94832337600000294</v>
      </c>
      <c r="X52" s="344"/>
      <c r="Y52" s="345"/>
      <c r="Z52" s="345"/>
      <c r="AA52" s="344"/>
      <c r="AB52" s="746" t="s">
        <v>297</v>
      </c>
      <c r="AC52" s="752" t="str">
        <f t="shared" si="1"/>
        <v/>
      </c>
      <c r="AD52" s="366" t="str">
        <f t="shared" si="3"/>
        <v/>
      </c>
      <c r="AE52" s="348"/>
      <c r="AF52" s="348"/>
      <c r="AG52" s="344"/>
      <c r="AH52" s="347"/>
      <c r="AI52" s="344"/>
      <c r="AJ52" s="347"/>
      <c r="AK52" s="364" t="str">
        <f t="shared" si="2"/>
        <v/>
      </c>
      <c r="AL52" s="372"/>
      <c r="AM52" s="372"/>
      <c r="AN52" s="373"/>
      <c r="AO52" s="600"/>
      <c r="AP52" s="366"/>
      <c r="AQ52" s="366"/>
      <c r="AR52" s="348"/>
      <c r="AS52" s="581"/>
      <c r="AT52" s="372"/>
      <c r="AU52" s="404"/>
      <c r="AV52" s="600"/>
      <c r="AW52" s="366"/>
      <c r="AX52" s="366"/>
      <c r="AY52" s="603"/>
      <c r="AZ52" s="602"/>
      <c r="BA52" s="601"/>
      <c r="BB52" s="374"/>
      <c r="BC52" s="375"/>
      <c r="BD52" s="376"/>
      <c r="BE52" s="377"/>
      <c r="BF52" s="1035"/>
      <c r="BG52" s="349" t="s">
        <v>300</v>
      </c>
    </row>
    <row r="53" spans="1:63" s="349" customFormat="1" ht="18.600000000000001" customHeight="1" x14ac:dyDescent="0.25">
      <c r="A53" s="367" t="s">
        <v>338</v>
      </c>
      <c r="B53" s="340">
        <v>-78.418361000000004</v>
      </c>
      <c r="C53" s="340">
        <v>38.158963</v>
      </c>
      <c r="D53" s="353">
        <v>1</v>
      </c>
      <c r="E53" s="354" t="s">
        <v>289</v>
      </c>
      <c r="F53" s="354" t="s">
        <v>339</v>
      </c>
      <c r="G53" s="354" t="s">
        <v>291</v>
      </c>
      <c r="H53" s="341"/>
      <c r="I53" s="341"/>
      <c r="J53" s="354"/>
      <c r="K53" s="340">
        <v>0.8</v>
      </c>
      <c r="L53" s="340"/>
      <c r="M53" s="340">
        <v>0</v>
      </c>
      <c r="N53" s="340">
        <v>0.8</v>
      </c>
      <c r="O53" s="343">
        <f>+M53/K53</f>
        <v>0</v>
      </c>
      <c r="P53" s="343">
        <f>+N53/K53</f>
        <v>1</v>
      </c>
      <c r="Q53" s="344"/>
      <c r="R53" s="344"/>
      <c r="S53" s="344"/>
      <c r="T53" s="344">
        <f>IF(J52="TT",IF(F52="u/g detention",(43*0.9*(0.05+0.9*P53)*0.26*$K53*2.72/12)-AK51,(43*0.9*(0.05+0.9*P53)*0.26*$K53*2.72/12)-AK52),43*0.9*(0.05+0.9*P53)*0.26*$K53*2.72/12)</f>
        <v>1.7333472000000008</v>
      </c>
      <c r="U53" s="344">
        <f>T53*5.2</f>
        <v>9.013405440000005</v>
      </c>
      <c r="V53" s="344">
        <f>T53*420.9</f>
        <v>729.56583648000026</v>
      </c>
      <c r="W53" s="344"/>
      <c r="X53" s="368" t="s">
        <v>278</v>
      </c>
      <c r="Y53" s="345">
        <v>178</v>
      </c>
      <c r="Z53" s="345">
        <v>0.8</v>
      </c>
      <c r="AA53" s="369">
        <f>IF(Y53="NA", 0, (Y53/43560)*12/Z53)</f>
        <v>6.1294765840220387E-2</v>
      </c>
      <c r="AB53" s="745" t="s">
        <v>296</v>
      </c>
      <c r="AC53" s="358">
        <f t="shared" si="1"/>
        <v>0.5</v>
      </c>
      <c r="AD53" s="745">
        <f t="shared" si="3"/>
        <v>0.86667360000000038</v>
      </c>
      <c r="AE53" s="359">
        <f>IF(ISNA(VLOOKUP(H53,'Efficiency Lookup'!$B$2:$C$38,2,FALSE)),0,(VLOOKUP(H53,'Efficiency Lookup'!$B$2:$C$38,2,FALSE)))</f>
        <v>0</v>
      </c>
      <c r="AF53" s="347">
        <f>T53*AE53</f>
        <v>0</v>
      </c>
      <c r="AG53" s="359">
        <f>IF(ISNA(VLOOKUP(I53,'Efficiency Lookup'!$D$2:$E$35,2,FALSE)),0,VLOOKUP(I53,'Efficiency Lookup'!$D$2:$E$35,2,FALSE))</f>
        <v>0</v>
      </c>
      <c r="AH53" s="347">
        <f>T53*AG53</f>
        <v>0</v>
      </c>
      <c r="AI53" s="370">
        <f>IF(X53="RR",IF((0.0304*(AA53^5)-0.2619*(AA53^4)+0.9161*(AA53^3)-1.6837*(AA53^2)+1.7072*AA53-0.0091)&gt;0.85,0.85,IF((0.0304*(AA53^5)-0.2619*(AA53^4)+0.9161*(AA53^3)-1.6837*(AA53^2)+1.7072*AA53-0.0091)&lt;0,0,(0.0304*(AA53^5)-0.2619*(AA53^4)+0.9161*(AA53^3)-1.6837*(AA53^2)+1.7072*AA53-0.0091))),IF((0.0239*(AA53^5)-0.2058*(AA53^4)+0.7198*(AA53^3)-1.3229*(AA53^2)+1.3414*AA53-0.0072)&gt;0.65,0.65,IF((0.0239*(AA53^5)-0.2058*(AA53^4)+0.7198*(AA53^3)-1.3229*(AA53^2)+1.3414*AA53-0.0072)&lt;0,0,(0.0239*(AA53^5)-0.2058*(AA53^4)+0.7198*(AA53^3)-1.3229*(AA53^2)+1.3414*AA53-0.0072))))</f>
        <v>7.0213476271175898E-2</v>
      </c>
      <c r="AJ53" s="347">
        <f>T53*AI53</f>
        <v>0.12170433249690923</v>
      </c>
      <c r="AK53" s="591">
        <f t="shared" si="2"/>
        <v>0.86667360000000038</v>
      </c>
      <c r="AL53" s="348">
        <f>AK53</f>
        <v>0.86667360000000038</v>
      </c>
      <c r="AM53" s="357">
        <f>AL53-W52</f>
        <v>-8.1649776000002561E-2</v>
      </c>
      <c r="AN53" s="358">
        <f>AM53/AL53</f>
        <v>-9.4210526315792381E-2</v>
      </c>
      <c r="AO53" s="371">
        <f>IF(ISNA(VLOOKUP(I53,'Efficiency Lookup'!$D$2:$G$35,3,FALSE)),0,VLOOKUP(I53,'Efficiency Lookup'!$D$2:$G$35,3,FALSE))</f>
        <v>0</v>
      </c>
      <c r="AP53" s="347">
        <f>U53*AO53</f>
        <v>0</v>
      </c>
      <c r="AQ53" s="356">
        <f>IF(X53="RR",IF((0.0308*(AA53^5)-0.2562*(AA53^4)+0.8634*(AA53^3)-1.5285*(AA53^2)+1.501*AA53-0.013)&gt;0.7,0.7,IF((0.0308*(AA53^5)-0.2562*(AA53^4)+0.8634*(AA53^3)-1.5285*(AA53^2)+1.501*AA53-0.013)&lt;0,0,(0.0308*(AA53^5)-0.2562*(AA53^4)+0.8634*(AA53^3)-1.5285*(AA53^2)+1.501*AA53-0.013))),IF((0.0152*(AA53^5)-0.131*(AA53^4)+0.4581*(AA53^3)-0.8418*(AA53^2)+0.8536*AA53-0.0046)&gt;0.65,0.65,IF((0.0152*(AA53^5)-0.131*(AA53^4)+0.4581*(AA53^3)-0.8418*(AA53^2)+0.8536*AA53-0.0046)&lt;0,0,(0.0152*(AA53^5)-0.131*(AA53^4)+0.4581*(AA53^3)-0.8418*(AA53^2)+0.8536*AA53-0.0046))))</f>
        <v>4.4662187534566952E-2</v>
      </c>
      <c r="AR53" s="348">
        <f>U53*AQ53</f>
        <v>0.40255840408636617</v>
      </c>
      <c r="AS53" s="402">
        <f>IF(AK53=AF53,MAX(AP53,AR53),IF(AK53=AH53,AP53,AR53))</f>
        <v>0.40255840408636617</v>
      </c>
      <c r="AT53" s="357">
        <f>AS53</f>
        <v>0.40255840408636617</v>
      </c>
      <c r="AU53" s="357">
        <f>AT53*AN53</f>
        <v>-3.7925239121821983E-2</v>
      </c>
      <c r="AV53" s="371">
        <f>IF(ISNA(VLOOKUP(I53,'Efficiency Lookup'!$D$2:$G$35,4,FALSE)),0,VLOOKUP(I53,'Efficiency Lookup'!$D$2:$G$35,4,FALSE))</f>
        <v>0</v>
      </c>
      <c r="AW53" s="347">
        <f>$V53*AV53</f>
        <v>0</v>
      </c>
      <c r="AX53" s="356">
        <f>IF(X53="RR",IF((0.0326*(AA53^5)-0.2806*(AA53^4)+0.9816*(AA53^3)-1.8039*(AA53^2)+1.8292*AA53-0.0098)&gt;0.85,0.85,IF((0.0326*(AA53^5)-0.2806*(AA53^4)+0.9816*(AA53^3)-1.8039*(AA53^2)+1.8292*AA53-0.0098)&lt;0,0,(0.0326*(AA53^5)-0.2806*(AA53^4)+0.9816*(AA53^3)-1.8039*(AA53^2)+1.8292*AA53-0.0098))),IF((0.0304*(AA53^5)-0.2619*(AA53^4)+0.9161*(AA53^3)-1.6837*(AA53^2)+1.7072*AA53-0.0091)&gt;0.8,0.8,IF((0.0304*(AA53^5)-0.2619*(AA53^4)+0.9161*(AA53^3)-1.6837*(AA53^2)+1.7072*AA53-0.0091)&lt;0,0,(0.0304*(AA53^5)-0.2619*(AA53^4)+0.9161*(AA53^3)-1.6837*(AA53^2)+1.7072*AA53-0.0091))))</f>
        <v>8.9423977747103478E-2</v>
      </c>
      <c r="AY53" s="351">
        <f>$V53*AX53</f>
        <v>65.240679126434472</v>
      </c>
      <c r="AZ53" s="402">
        <f>IF(AK53=AJ53,AY53,IF(AK53=AH53,AW53,IF(AP53=AR53,MAX(AW53,AY53),IF(AS53=AP53,AW53,AY53))))</f>
        <v>65.240679126434472</v>
      </c>
      <c r="BA53" s="357">
        <f>AZ53</f>
        <v>65.240679126434472</v>
      </c>
      <c r="BB53" s="403">
        <f>BA53*AN53</f>
        <v>-6.1463587177011219</v>
      </c>
      <c r="BC53" s="361">
        <f>AM53</f>
        <v>-8.1649776000002561E-2</v>
      </c>
      <c r="BD53" s="361">
        <f>AU53</f>
        <v>-3.7925239121821983E-2</v>
      </c>
      <c r="BE53" s="362">
        <f>BB53</f>
        <v>-6.1463587177011219</v>
      </c>
      <c r="BF53" s="1035"/>
      <c r="BG53" s="349" t="s">
        <v>326</v>
      </c>
    </row>
    <row r="54" spans="1:63" s="268" customFormat="1" ht="18.600000000000001" customHeight="1" x14ac:dyDescent="0.25">
      <c r="A54" s="271"/>
      <c r="B54" s="271"/>
      <c r="C54" s="271"/>
      <c r="D54" s="271"/>
      <c r="E54" s="271"/>
      <c r="F54" s="271"/>
      <c r="G54" s="262"/>
      <c r="H54" s="263"/>
      <c r="I54" s="263"/>
      <c r="J54" s="271"/>
      <c r="K54" s="271"/>
      <c r="L54" s="271"/>
      <c r="M54" s="271"/>
      <c r="N54" s="271"/>
      <c r="Q54" s="264"/>
      <c r="S54" s="264"/>
      <c r="T54" s="264"/>
      <c r="U54" s="264"/>
      <c r="V54" s="264"/>
      <c r="W54" s="264"/>
      <c r="X54" s="266"/>
      <c r="Y54" s="265"/>
      <c r="Z54" s="265"/>
      <c r="AA54" s="264"/>
      <c r="AB54" s="743" t="s">
        <v>297</v>
      </c>
      <c r="AC54" s="751" t="str">
        <f t="shared" si="1"/>
        <v/>
      </c>
      <c r="AD54" s="303" t="str">
        <f t="shared" si="3"/>
        <v/>
      </c>
      <c r="AE54" s="266"/>
      <c r="AF54" s="266"/>
      <c r="AG54" s="264"/>
      <c r="AH54" s="274"/>
      <c r="AI54" s="320"/>
      <c r="AJ54" s="274"/>
      <c r="AK54" s="328" t="str">
        <f t="shared" si="2"/>
        <v/>
      </c>
      <c r="AO54" s="329"/>
      <c r="AP54" s="303"/>
      <c r="AQ54" s="303"/>
      <c r="AR54" s="303"/>
      <c r="AS54" s="326"/>
      <c r="AV54" s="329"/>
      <c r="AW54" s="303"/>
      <c r="AX54" s="303"/>
      <c r="AY54" s="285"/>
      <c r="AZ54" s="326"/>
      <c r="BB54" s="331"/>
      <c r="BE54" s="331"/>
    </row>
    <row r="55" spans="1:63" ht="18.600000000000001" customHeight="1" x14ac:dyDescent="0.25">
      <c r="A55" s="11" t="s">
        <v>340</v>
      </c>
      <c r="B55" s="11"/>
      <c r="C55" s="11"/>
      <c r="D55" s="1111" t="s">
        <v>271</v>
      </c>
      <c r="E55" s="1065"/>
      <c r="F55" s="1019"/>
      <c r="G55" s="1019"/>
      <c r="H55" s="1021"/>
      <c r="I55" s="1021"/>
      <c r="J55" s="1019"/>
      <c r="K55" s="11">
        <v>4.97</v>
      </c>
      <c r="L55" s="11"/>
      <c r="M55" s="11">
        <v>0</v>
      </c>
      <c r="N55" s="9">
        <v>1.05</v>
      </c>
      <c r="O55" s="7">
        <f>+M55/K55</f>
        <v>0</v>
      </c>
      <c r="P55" s="7">
        <f>+N55/K55</f>
        <v>0.21126760563380284</v>
      </c>
      <c r="Q55" s="8">
        <f>43*0.9*(0.05+0.9*0.16)*0.26*$K55*2.72/12</f>
        <v>2.1990246095999999</v>
      </c>
      <c r="R55" s="39">
        <f>43*0.9*(0.05+0.9*O55)*0.26*$K55*2.72/12</f>
        <v>0.56675892000000017</v>
      </c>
      <c r="S55" s="8">
        <f>IF(J55="R",R55,Q55)</f>
        <v>2.1990246095999999</v>
      </c>
      <c r="T55" s="8">
        <f>43*0.9*(0.05+0.9*P55)*0.26*$K55*2.72/12</f>
        <v>2.7220393200000004</v>
      </c>
      <c r="U55" s="8">
        <f>T55*5.2</f>
        <v>14.154604464000002</v>
      </c>
      <c r="V55" s="8">
        <f>T55*420.9</f>
        <v>1145.7063497880001</v>
      </c>
      <c r="W55" s="8">
        <f>IF(P55 &lt; 16%, 0, IF(K55 &lt; 1, 0, T55-S55))</f>
        <v>0.52301471040000047</v>
      </c>
      <c r="X55" s="8"/>
      <c r="Y55" s="257"/>
      <c r="Z55" s="257"/>
      <c r="AA55" s="8"/>
      <c r="AB55" s="744" t="s">
        <v>297</v>
      </c>
      <c r="AC55" s="750" t="str">
        <f t="shared" si="1"/>
        <v/>
      </c>
      <c r="AD55" s="39" t="str">
        <f t="shared" si="3"/>
        <v/>
      </c>
      <c r="AE55" s="34"/>
      <c r="AF55" s="34"/>
      <c r="AG55" s="8"/>
      <c r="AH55" s="133"/>
      <c r="AI55" s="132"/>
      <c r="AJ55" s="133"/>
      <c r="AK55" s="327" t="str">
        <f t="shared" si="2"/>
        <v/>
      </c>
      <c r="AO55" s="589"/>
      <c r="AP55" s="39"/>
      <c r="AQ55" s="39"/>
      <c r="AR55" s="39"/>
      <c r="AS55" s="306"/>
      <c r="AU55" s="28"/>
      <c r="AV55" s="589"/>
      <c r="AW55" s="39"/>
      <c r="AX55" s="8"/>
      <c r="AY55" s="141"/>
      <c r="AZ55" s="146"/>
      <c r="BA55" s="8"/>
      <c r="BB55" s="143"/>
      <c r="BE55" s="143"/>
      <c r="BF55" s="529" t="s">
        <v>341</v>
      </c>
      <c r="BG55" t="s">
        <v>300</v>
      </c>
    </row>
    <row r="56" spans="1:63" ht="18.600000000000001" customHeight="1" x14ac:dyDescent="0.25">
      <c r="A56" s="5"/>
      <c r="B56" s="11">
        <v>-78.449021000000002</v>
      </c>
      <c r="C56" s="11">
        <v>38.151502000000001</v>
      </c>
      <c r="D56" s="13">
        <v>198.02</v>
      </c>
      <c r="E56" s="1048" t="s">
        <v>281</v>
      </c>
      <c r="F56" s="1048" t="s">
        <v>342</v>
      </c>
      <c r="G56" s="1048"/>
      <c r="H56" s="1021" t="s">
        <v>343</v>
      </c>
      <c r="I56" s="1021" t="s">
        <v>315</v>
      </c>
      <c r="J56" s="1048"/>
      <c r="K56" s="11">
        <v>1.2</v>
      </c>
      <c r="L56" s="11"/>
      <c r="M56" s="11">
        <v>0</v>
      </c>
      <c r="N56" s="11">
        <v>0.45</v>
      </c>
      <c r="O56" s="7">
        <f>+M56/K56</f>
        <v>0</v>
      </c>
      <c r="P56" s="7">
        <f>+N56/K56</f>
        <v>0.375</v>
      </c>
      <c r="Q56" s="8"/>
      <c r="R56" s="8"/>
      <c r="S56" s="8"/>
      <c r="T56" s="8">
        <f>IF(J55="TT",IF(F55="u/g detention",(43*0.9*(0.05+0.9*P56)*0.26*$K56*2.72/12)-AK54,(43*0.9*(0.05+0.9*P56)*0.26*$K56*2.72/12)-AK55),43*0.9*(0.05+0.9*P56)*0.26*$K56*2.72/12)</f>
        <v>1.0605348000000003</v>
      </c>
      <c r="U56" s="8">
        <f>T56*5.2</f>
        <v>5.5147809600000022</v>
      </c>
      <c r="V56" s="8">
        <f>T56*420.9</f>
        <v>446.37909732000014</v>
      </c>
      <c r="W56" s="8"/>
      <c r="X56" s="34" t="s">
        <v>285</v>
      </c>
      <c r="Y56" s="257">
        <v>1660</v>
      </c>
      <c r="Z56" s="257">
        <v>0.45</v>
      </c>
      <c r="AA56" s="258">
        <f>IF(Y56="NA", 0, (Y56/43560)*12/Z56)</f>
        <v>1.0162228344046524</v>
      </c>
      <c r="AB56" s="742" t="s">
        <v>296</v>
      </c>
      <c r="AC56" s="134" t="str">
        <f t="shared" si="1"/>
        <v>NA</v>
      </c>
      <c r="AD56" s="741">
        <f t="shared" si="3"/>
        <v>0</v>
      </c>
      <c r="AE56" s="134">
        <f>IF(ISNA(VLOOKUP(H56,'Efficiency Lookup'!$B$2:$C$38,2,FALSE)),0,(VLOOKUP(H56,'Efficiency Lookup'!$B$2:$C$38,2,FALSE)))</f>
        <v>0.5</v>
      </c>
      <c r="AF56" s="133">
        <f>T56*AE56</f>
        <v>0.53026740000000017</v>
      </c>
      <c r="AG56" s="288">
        <f>IF(ISNA(VLOOKUP(I56,'Efficiency Lookup'!$D$2:$E$35,2,FALSE)),0,VLOOKUP(I56,'Efficiency Lookup'!$D$2:$E$35,2,FALSE))</f>
        <v>0.75</v>
      </c>
      <c r="AH56" s="313">
        <f>T56*AG56</f>
        <v>0.79540110000000031</v>
      </c>
      <c r="AI56" s="132">
        <f>IF(X56="RR",IF((0.0304*(AA56^5)-0.2619*(AA56^4)+0.9161*(AA56^3)-1.6837*(AA56^2)+1.7072*AA56-0.0091)&gt;0.85,0.85,IF((0.0304*(AA56^5)-0.2619*(AA56^4)+0.9161*(AA56^3)-1.6837*(AA56^2)+1.7072*AA56-0.0091)&lt;0,0,(0.0304*(AA56^5)-0.2619*(AA56^4)+0.9161*(AA56^3)-1.6837*(AA56^2)+1.7072*AA56-0.0091))),IF((0.0239*(AA56^5)-0.2058*(AA56^4)+0.7198*(AA56^3)-1.3229*(AA56^2)+1.3414*AA56-0.0072)&gt;0.65,0.65,IF((0.0239*(AA56^5)-0.2058*(AA56^4)+0.7198*(AA56^3)-1.3229*(AA56^2)+1.3414*AA56-0.0072)&lt;0,0,(0.0239*(AA56^5)-0.2058*(AA56^4)+0.7198*(AA56^3)-1.3229*(AA56^2)+1.3414*AA56-0.0072))))</f>
        <v>0.70207025156288638</v>
      </c>
      <c r="AJ56" s="133">
        <f>T56*AI56</f>
        <v>0.74456993382719561</v>
      </c>
      <c r="AK56" s="516">
        <f t="shared" si="2"/>
        <v>0.79540110000000031</v>
      </c>
      <c r="AL56" s="1100">
        <f>SUM(AK56:AK58)</f>
        <v>1.9132389900000004</v>
      </c>
      <c r="AM56" s="1100">
        <f>AL56-W55</f>
        <v>1.3902242795999999</v>
      </c>
      <c r="AN56" s="1112">
        <f>AM56/AL56</f>
        <v>0.72663388466696455</v>
      </c>
      <c r="AO56" s="496">
        <f>IF(ISNA(VLOOKUP(I56,'Efficiency Lookup'!$D$2:$G$35,3,FALSE)),0,VLOOKUP(I56,'Efficiency Lookup'!$D$2:$G$35,3,FALSE))</f>
        <v>0.7</v>
      </c>
      <c r="AP56" s="313">
        <f>U56*AO56</f>
        <v>3.8603466720000013</v>
      </c>
      <c r="AQ56" s="134">
        <f>IF(X56="RR",IF((0.0308*(AA56^5)-0.2562*(AA56^4)+0.8634*(AA56^3)-1.5285*(AA56^2)+1.501*AA56-0.013)&gt;0.7,0.7,IF((0.0308*(AA56^5)-0.2562*(AA56^4)+0.8634*(AA56^3)-1.5285*(AA56^2)+1.501*AA56-0.013)&lt;0,0,(0.0308*(AA56^5)-0.2562*(AA56^4)+0.8634*(AA56^3)-1.5285*(AA56^2)+1.501*AA56-0.013))),IF((0.0152*(AA56^5)-0.131*(AA56^4)+0.4581*(AA56^3)-0.8418*(AA56^2)+0.8536*AA56-0.0046)&gt;0.65,0.65,IF((0.0152*(AA56^5)-0.131*(AA56^4)+0.4581*(AA56^3)-0.8418*(AA56^2)+0.8536*AA56-0.0046)&lt;0,0,(0.0152*(AA56^5)-0.131*(AA56^4)+0.4581*(AA56^3)-0.8418*(AA56^2)+0.8536*AA56-0.0046))))</f>
        <v>0.60010734730120174</v>
      </c>
      <c r="AR56" s="133">
        <f>U56*AQ56</f>
        <v>3.309460572852776</v>
      </c>
      <c r="AS56" s="400">
        <f>IF(AK56=AF56,MAX(AP56,AR56),IF(AK56=AH56,AP56,AR56))</f>
        <v>3.8603466720000013</v>
      </c>
      <c r="AT56" s="1100">
        <f>SUM(AS56:AS58)</f>
        <v>9.2855865648000027</v>
      </c>
      <c r="AU56" s="1104">
        <f>AT56*AN56</f>
        <v>6.7472218369920007</v>
      </c>
      <c r="AV56" s="496">
        <f>IF(ISNA(VLOOKUP(I56,'Efficiency Lookup'!$D$2:$G$35,4,FALSE)),0,VLOOKUP(I56,'Efficiency Lookup'!$D$2:$G$35,4,FALSE))</f>
        <v>0.8</v>
      </c>
      <c r="AW56" s="313">
        <f>$V56*AV56</f>
        <v>357.10327785600015</v>
      </c>
      <c r="AX56" s="134">
        <f>IF(X56="RR",IF((0.0326*(AA56^5)-0.2806*(AA56^4)+0.9816*(AA56^3)-1.8039*(AA56^2)+1.8292*AA56-0.0098)&gt;0.85,0.85,IF((0.0326*(AA56^5)-0.2806*(AA56^4)+0.9816*(AA56^3)-1.8039*(AA56^2)+1.8292*AA56-0.0098)&lt;0,0,(0.0326*(AA56^5)-0.2806*(AA56^4)+0.9816*(AA56^3)-1.8039*(AA56^2)+1.8292*AA56-0.0098))),IF((0.0304*(AA56^5)-0.2619*(AA56^4)+0.9161*(AA56^3)-1.6837*(AA56^2)+1.7072*AA56-0.0091)&gt;0.8,0.8,IF((0.0304*(AA56^5)-0.2619*(AA56^4)+0.9161*(AA56^3)-1.6837*(AA56^2)+1.7072*AA56-0.0091)&lt;0,0,(0.0304*(AA56^5)-0.2619*(AA56^4)+0.9161*(AA56^3)-1.6837*(AA56^2)+1.7072*AA56-0.0091))))</f>
        <v>0.75239863358011072</v>
      </c>
      <c r="AY56" s="137">
        <f>$V56*AX56</f>
        <v>335.85502288229139</v>
      </c>
      <c r="AZ56" s="400">
        <f>IF(AS56=AP56,AW56,AY56)</f>
        <v>357.10327785600015</v>
      </c>
      <c r="BA56" s="1100">
        <f>SUM(AZ56:AZ58)</f>
        <v>858.96777695040032</v>
      </c>
      <c r="BB56" s="1104">
        <f>BA56*AN56</f>
        <v>624.15509256921609</v>
      </c>
      <c r="BC56" s="1105">
        <f>AM56</f>
        <v>1.3902242795999999</v>
      </c>
      <c r="BD56" s="1106">
        <f>AU56</f>
        <v>6.7472218369920007</v>
      </c>
      <c r="BE56" s="1107">
        <f>BB56</f>
        <v>624.15509256921609</v>
      </c>
      <c r="BG56" t="s">
        <v>287</v>
      </c>
    </row>
    <row r="57" spans="1:63" ht="18.600000000000001" customHeight="1" x14ac:dyDescent="0.25">
      <c r="A57" s="5"/>
      <c r="B57" s="11">
        <v>-78.463756000000004</v>
      </c>
      <c r="C57" s="11">
        <v>38.056739999999998</v>
      </c>
      <c r="D57" s="13">
        <v>198.03</v>
      </c>
      <c r="E57" s="1048" t="s">
        <v>281</v>
      </c>
      <c r="F57" s="1048" t="s">
        <v>342</v>
      </c>
      <c r="G57" s="1048"/>
      <c r="H57" s="1021" t="s">
        <v>343</v>
      </c>
      <c r="I57" s="1021" t="s">
        <v>315</v>
      </c>
      <c r="J57" s="1048"/>
      <c r="K57" s="11">
        <v>0.77</v>
      </c>
      <c r="L57" s="11"/>
      <c r="M57" s="11">
        <v>0</v>
      </c>
      <c r="N57" s="11">
        <v>0.28000000000000003</v>
      </c>
      <c r="O57" s="7">
        <f>+M57/K57</f>
        <v>0</v>
      </c>
      <c r="P57" s="7">
        <f>+N57/K57</f>
        <v>0.36363636363636365</v>
      </c>
      <c r="Q57" s="8"/>
      <c r="R57" s="8"/>
      <c r="S57" s="8"/>
      <c r="T57" s="8">
        <f>IF(J56="TT",IF(F56="u/g detention",(43*0.9*(0.05+0.9*P57)*0.26*$K57*2.72/12)-AK55,(43*0.9*(0.05+0.9*P57)*0.26*$K57*2.72/12)-AK56),43*0.9*(0.05+0.9*P57)*0.26*$K57*2.72/12)</f>
        <v>0.66254916000000008</v>
      </c>
      <c r="U57" s="8">
        <f>T57*5.2</f>
        <v>3.4452556320000007</v>
      </c>
      <c r="V57" s="8">
        <f>T57*420.9</f>
        <v>278.86694144400002</v>
      </c>
      <c r="W57" s="8"/>
      <c r="X57" s="34" t="s">
        <v>285</v>
      </c>
      <c r="Y57" s="257">
        <v>647</v>
      </c>
      <c r="Z57" s="257">
        <v>0.28000000000000003</v>
      </c>
      <c r="AA57" s="258">
        <f>IF(Y57="NA", 0, (Y57/43560)*12/Z57)</f>
        <v>0.63656040928768198</v>
      </c>
      <c r="AB57" s="742" t="s">
        <v>296</v>
      </c>
      <c r="AC57" s="134" t="str">
        <f t="shared" si="1"/>
        <v>NA</v>
      </c>
      <c r="AD57" s="741">
        <f t="shared" si="3"/>
        <v>0</v>
      </c>
      <c r="AE57" s="134">
        <f>IF(ISNA(VLOOKUP(H57,'Efficiency Lookup'!$B$2:$C$38,2,FALSE)),0,(VLOOKUP(H57,'Efficiency Lookup'!$B$2:$C$38,2,FALSE)))</f>
        <v>0.5</v>
      </c>
      <c r="AF57" s="133">
        <f>T57*AE57</f>
        <v>0.33127458000000004</v>
      </c>
      <c r="AG57" s="288">
        <f>IF(ISNA(VLOOKUP(I57,'Efficiency Lookup'!$D$2:$E$35,2,FALSE)),0,VLOOKUP(I57,'Efficiency Lookup'!$D$2:$E$35,2,FALSE))</f>
        <v>0.75</v>
      </c>
      <c r="AH57" s="313">
        <f>T57*AG57</f>
        <v>0.49691187000000003</v>
      </c>
      <c r="AI57" s="132">
        <f>IF(X57="RR",IF((0.0304*(AA57^5)-0.2619*(AA57^4)+0.9161*(AA57^3)-1.6837*(AA57^2)+1.7072*AA57-0.0091)&gt;0.85,0.85,IF((0.0304*(AA57^5)-0.2619*(AA57^4)+0.9161*(AA57^3)-1.6837*(AA57^2)+1.7072*AA57-0.0091)&lt;0,0,(0.0304*(AA57^5)-0.2619*(AA57^4)+0.9161*(AA57^3)-1.6837*(AA57^2)+1.7072*AA57-0.0091))),IF((0.0239*(AA57^5)-0.2058*(AA57^4)+0.7198*(AA57^3)-1.3229*(AA57^2)+1.3414*AA57-0.0072)&gt;0.65,0.65,IF((0.0239*(AA57^5)-0.2058*(AA57^4)+0.7198*(AA57^3)-1.3229*(AA57^2)+1.3414*AA57-0.0072)&lt;0,0,(0.0239*(AA57^5)-0.2058*(AA57^4)+0.7198*(AA57^3)-1.3229*(AA57^2)+1.3414*AA57-0.0072))))</f>
        <v>0.59185907733885046</v>
      </c>
      <c r="AJ57" s="133">
        <f>T57*AI57</f>
        <v>0.39213573452923045</v>
      </c>
      <c r="AK57" s="516">
        <f t="shared" si="2"/>
        <v>0.49691187000000003</v>
      </c>
      <c r="AL57" s="1100"/>
      <c r="AM57" s="1100"/>
      <c r="AN57" s="1112"/>
      <c r="AO57" s="496">
        <f>IF(ISNA(VLOOKUP(I57,'Efficiency Lookup'!$D$2:$G$35,3,FALSE)),0,VLOOKUP(I57,'Efficiency Lookup'!$D$2:$G$35,3,FALSE))</f>
        <v>0.7</v>
      </c>
      <c r="AP57" s="313">
        <f>U57*AO57</f>
        <v>2.4116789424000005</v>
      </c>
      <c r="AQ57" s="134">
        <f>IF(X57="RR",IF((0.0308*(AA57^5)-0.2562*(AA57^4)+0.8634*(AA57^3)-1.5285*(AA57^2)+1.501*AA57-0.013)&gt;0.7,0.7,IF((0.0308*(AA57^5)-0.2562*(AA57^4)+0.8634*(AA57^3)-1.5285*(AA57^2)+1.501*AA57-0.013)&lt;0,0,(0.0308*(AA57^5)-0.2562*(AA57^4)+0.8634*(AA57^3)-1.5285*(AA57^2)+1.501*AA57-0.013))),IF((0.0152*(AA57^5)-0.131*(AA57^4)+0.4581*(AA57^3)-0.8418*(AA57^2)+0.8536*AA57-0.0046)&gt;0.65,0.65,IF((0.0152*(AA57^5)-0.131*(AA57^4)+0.4581*(AA57^3)-0.8418*(AA57^2)+0.8536*AA57-0.0046)&lt;0,0,(0.0152*(AA57^5)-0.131*(AA57^4)+0.4581*(AA57^3)-0.8418*(AA57^2)+0.8536*AA57-0.0046))))</f>
        <v>0.50697305449048813</v>
      </c>
      <c r="AR57" s="133">
        <f>U57*AQ57</f>
        <v>1.7466517712555976</v>
      </c>
      <c r="AS57" s="400">
        <f>IF(AK57=AF57,MAX(AP57,AR57),IF(AK57=AH57,AP57,AR57))</f>
        <v>2.4116789424000005</v>
      </c>
      <c r="AT57" s="1100"/>
      <c r="AU57" s="1104"/>
      <c r="AV57" s="496">
        <f>IF(ISNA(VLOOKUP(I57,'Efficiency Lookup'!$D$2:$G$35,4,FALSE)),0,VLOOKUP(I57,'Efficiency Lookup'!$D$2:$G$35,4,FALSE))</f>
        <v>0.8</v>
      </c>
      <c r="AW57" s="313">
        <f>$V57*AV57</f>
        <v>223.09355315520003</v>
      </c>
      <c r="AX57" s="134">
        <f>IF(X57="RR",IF((0.0326*(AA57^5)-0.2806*(AA57^4)+0.9816*(AA57^3)-1.8039*(AA57^2)+1.8292*AA57-0.0098)&gt;0.85,0.85,IF((0.0326*(AA57^5)-0.2806*(AA57^4)+0.9816*(AA57^3)-1.8039*(AA57^2)+1.8292*AA57-0.0098)&lt;0,0,(0.0326*(AA57^5)-0.2806*(AA57^4)+0.9816*(AA57^3)-1.8039*(AA57^2)+1.8292*AA57-0.0098))),IF((0.0304*(AA57^5)-0.2619*(AA57^4)+0.9161*(AA57^3)-1.6837*(AA57^2)+1.7072*AA57-0.0091)&gt;0.8,0.8,IF((0.0304*(AA57^5)-0.2619*(AA57^4)+0.9161*(AA57^3)-1.6837*(AA57^2)+1.7072*AA57-0.0091)&lt;0,0,(0.0304*(AA57^5)-0.2619*(AA57^4)+0.9161*(AA57^3)-1.6837*(AA57^2)+1.7072*AA57-0.0091))))</f>
        <v>0.63416789071906576</v>
      </c>
      <c r="AY57" s="137">
        <f>$V57*AX57</f>
        <v>176.84846004681873</v>
      </c>
      <c r="AZ57" s="400">
        <f>IF(AS57=AP57,AW57,AY57)</f>
        <v>223.09355315520003</v>
      </c>
      <c r="BA57" s="1100"/>
      <c r="BB57" s="1104"/>
      <c r="BC57" s="1105"/>
      <c r="BD57" s="1106"/>
      <c r="BE57" s="1107"/>
      <c r="BG57" t="s">
        <v>287</v>
      </c>
    </row>
    <row r="58" spans="1:63" ht="18.600000000000001" customHeight="1" x14ac:dyDescent="0.25">
      <c r="A58" s="5"/>
      <c r="B58" s="11">
        <v>-78.463077999999996</v>
      </c>
      <c r="C58" s="11">
        <v>38.057035999999997</v>
      </c>
      <c r="D58" s="13">
        <v>198.04</v>
      </c>
      <c r="E58" s="1048" t="s">
        <v>281</v>
      </c>
      <c r="F58" s="1048" t="s">
        <v>342</v>
      </c>
      <c r="G58" s="1048"/>
      <c r="H58" s="1021" t="s">
        <v>343</v>
      </c>
      <c r="I58" s="1021" t="s">
        <v>315</v>
      </c>
      <c r="J58" s="1048"/>
      <c r="K58" s="11">
        <v>2.58</v>
      </c>
      <c r="L58" s="11"/>
      <c r="M58" s="11">
        <v>0</v>
      </c>
      <c r="N58" s="11">
        <v>0.26</v>
      </c>
      <c r="O58" s="7">
        <f>+M58/K58</f>
        <v>0</v>
      </c>
      <c r="P58" s="7">
        <f>+N58/K58</f>
        <v>0.10077519379844961</v>
      </c>
      <c r="Q58" s="8"/>
      <c r="R58" s="8"/>
      <c r="S58" s="8"/>
      <c r="T58" s="8">
        <f>IF(J57="TT",IF(F57="u/g detention",(43*0.9*(0.05+0.9*P58)*0.26*$K58*2.72/12)-AK56,(43*0.9*(0.05+0.9*P58)*0.26*$K58*2.72/12)-AK57),43*0.9*(0.05+0.9*P58)*0.26*$K58*2.72/12)</f>
        <v>0.82790136000000025</v>
      </c>
      <c r="U58" s="8">
        <f>T58*5.2</f>
        <v>4.3050870720000018</v>
      </c>
      <c r="V58" s="8">
        <f>T58*420.9</f>
        <v>348.46368242400007</v>
      </c>
      <c r="W58" s="8"/>
      <c r="X58" s="34" t="s">
        <v>285</v>
      </c>
      <c r="Y58" s="257">
        <v>782</v>
      </c>
      <c r="Z58" s="257">
        <v>0.26</v>
      </c>
      <c r="AA58" s="258">
        <f>IF(Y58="NA", 0, (Y58/43560)*12/Z58)</f>
        <v>0.82856537401991948</v>
      </c>
      <c r="AB58" s="742" t="s">
        <v>296</v>
      </c>
      <c r="AC58" s="134" t="str">
        <f t="shared" si="1"/>
        <v>NA</v>
      </c>
      <c r="AD58" s="741">
        <f t="shared" si="3"/>
        <v>0</v>
      </c>
      <c r="AE58" s="134">
        <f>IF(ISNA(VLOOKUP(H58,'Efficiency Lookup'!$B$2:$C$38,2,FALSE)),0,(VLOOKUP(H58,'Efficiency Lookup'!$B$2:$C$38,2,FALSE)))</f>
        <v>0.5</v>
      </c>
      <c r="AF58" s="133">
        <f>T58*AE58</f>
        <v>0.41395068000000013</v>
      </c>
      <c r="AG58" s="135">
        <f>IF(ISNA(VLOOKUP(I58,'Efficiency Lookup'!$D$2:$E$35,2,FALSE)),0,VLOOKUP(I58,'Efficiency Lookup'!$D$2:$E$35,2,FALSE))</f>
        <v>0.75</v>
      </c>
      <c r="AH58" s="34">
        <f>T58*AG58</f>
        <v>0.62092602000000019</v>
      </c>
      <c r="AI58" s="132">
        <f>IF(X58="RR",IF((0.0304*(AA58^5)-0.2619*(AA58^4)+0.9161*(AA58^3)-1.6837*(AA58^2)+1.7072*AA58-0.0091)&gt;0.85,0.85,IF((0.0304*(AA58^5)-0.2619*(AA58^4)+0.9161*(AA58^3)-1.6837*(AA58^2)+1.7072*AA58-0.0091)&lt;0,0,(0.0304*(AA58^5)-0.2619*(AA58^4)+0.9161*(AA58^3)-1.6837*(AA58^2)+1.7072*AA58-0.0091))),IF((0.0239*(AA58^5)-0.2058*(AA58^4)+0.7198*(AA58^3)-1.3229*(AA58^2)+1.3414*AA58-0.0072)&gt;0.65,0.65,IF((0.0239*(AA58^5)-0.2058*(AA58^4)+0.7198*(AA58^3)-1.3229*(AA58^2)+1.3414*AA58-0.0072)&lt;0,0,(0.0239*(AA58^5)-0.2058*(AA58^4)+0.7198*(AA58^3)-1.3229*(AA58^2)+1.3414*AA58-0.0072))))</f>
        <v>0.65907001773657736</v>
      </c>
      <c r="AJ58" s="133">
        <f>T58*AI58</f>
        <v>0.54564496401933671</v>
      </c>
      <c r="AK58" s="516">
        <f t="shared" si="2"/>
        <v>0.62092602000000019</v>
      </c>
      <c r="AL58" s="1100"/>
      <c r="AM58" s="1100"/>
      <c r="AN58" s="1112"/>
      <c r="AO58" s="147">
        <f>IF(ISNA(VLOOKUP(I58,'Efficiency Lookup'!$D$2:$G$35,3,FALSE)),0,VLOOKUP(I58,'Efficiency Lookup'!$D$2:$G$35,3,FALSE))</f>
        <v>0.7</v>
      </c>
      <c r="AP58" s="34">
        <f>U58*AO58</f>
        <v>3.0135609504000009</v>
      </c>
      <c r="AQ58" s="134">
        <f>IF(X58="RR",IF((0.0308*(AA58^5)-0.2562*(AA58^4)+0.8634*(AA58^3)-1.5285*(AA58^2)+1.501*AA58-0.013)&gt;0.7,0.7,IF((0.0308*(AA58^5)-0.2562*(AA58^4)+0.8634*(AA58^3)-1.5285*(AA58^2)+1.501*AA58-0.013)&lt;0,0,(0.0308*(AA58^5)-0.2562*(AA58^4)+0.8634*(AA58^3)-1.5285*(AA58^2)+1.501*AA58-0.013))),IF((0.0152*(AA58^5)-0.131*(AA58^4)+0.4581*(AA58^3)-0.8418*(AA58^2)+0.8536*AA58-0.0046)&gt;0.65,0.65,IF((0.0152*(AA58^5)-0.131*(AA58^4)+0.4581*(AA58^3)-0.8418*(AA58^2)+0.8536*AA58-0.0046)&lt;0,0,(0.0152*(AA58^5)-0.131*(AA58^4)+0.4581*(AA58^3)-0.8418*(AA58^2)+0.8536*AA58-0.0046))))</f>
        <v>0.56373331358181811</v>
      </c>
      <c r="AR58" s="133">
        <f>U58*AQ58</f>
        <v>2.426921000356808</v>
      </c>
      <c r="AS58" s="400">
        <f>IF(AK58=AF58,MAX(AP58,AR58),IF(AK58=AH58,AP58,AR58))</f>
        <v>3.0135609504000009</v>
      </c>
      <c r="AT58" s="1100"/>
      <c r="AU58" s="1104"/>
      <c r="AV58" s="147">
        <f>IF(ISNA(VLOOKUP(I58,'Efficiency Lookup'!$D$2:$G$35,4,FALSE)),0,VLOOKUP(I58,'Efficiency Lookup'!$D$2:$G$35,4,FALSE))</f>
        <v>0.8</v>
      </c>
      <c r="AW58" s="34">
        <f>$V58*AV58</f>
        <v>278.77094593920009</v>
      </c>
      <c r="AX58" s="134">
        <f>IF(X58="RR",IF((0.0326*(AA58^5)-0.2806*(AA58^4)+0.9816*(AA58^3)-1.8039*(AA58^2)+1.8292*AA58-0.0098)&gt;0.85,0.85,IF((0.0326*(AA58^5)-0.2806*(AA58^4)+0.9816*(AA58^3)-1.8039*(AA58^2)+1.8292*AA58-0.0098)&lt;0,0,(0.0326*(AA58^5)-0.2806*(AA58^4)+0.9816*(AA58^3)-1.8039*(AA58^2)+1.8292*AA58-0.0098))),IF((0.0304*(AA58^5)-0.2619*(AA58^4)+0.9161*(AA58^3)-1.6837*(AA58^2)+1.7072*AA58-0.0091)&gt;0.8,0.8,IF((0.0304*(AA58^5)-0.2619*(AA58^4)+0.9161*(AA58^3)-1.6837*(AA58^2)+1.7072*AA58-0.0091)&lt;0,0,(0.0304*(AA58^5)-0.2619*(AA58^4)+0.9161*(AA58^3)-1.6837*(AA58^2)+1.7072*AA58-0.0091))))</f>
        <v>0.70623901907199427</v>
      </c>
      <c r="AY58" s="137">
        <f>$V58*AX58</f>
        <v>246.09864925734072</v>
      </c>
      <c r="AZ58" s="400">
        <f>IF(AS58=AP58,AW58,AY58)</f>
        <v>278.77094593920009</v>
      </c>
      <c r="BA58" s="1100"/>
      <c r="BB58" s="1104"/>
      <c r="BC58" s="1105"/>
      <c r="BD58" s="1106"/>
      <c r="BE58" s="1107"/>
      <c r="BG58" t="s">
        <v>287</v>
      </c>
    </row>
    <row r="59" spans="1:63" s="268" customFormat="1" ht="18.600000000000001" customHeight="1" x14ac:dyDescent="0.25">
      <c r="A59" s="271"/>
      <c r="B59" s="271"/>
      <c r="C59" s="271"/>
      <c r="D59" s="271"/>
      <c r="E59" s="271"/>
      <c r="F59" s="271"/>
      <c r="G59" s="262"/>
      <c r="H59" s="263"/>
      <c r="I59" s="263"/>
      <c r="J59" s="271"/>
      <c r="K59" s="271"/>
      <c r="L59" s="271"/>
      <c r="M59" s="271"/>
      <c r="N59" s="271"/>
      <c r="Q59" s="264"/>
      <c r="S59" s="264"/>
      <c r="T59" s="264"/>
      <c r="U59" s="264"/>
      <c r="V59" s="264"/>
      <c r="W59" s="264"/>
      <c r="X59" s="264"/>
      <c r="Y59" s="265"/>
      <c r="Z59" s="265"/>
      <c r="AA59" s="264"/>
      <c r="AB59" s="743" t="s">
        <v>297</v>
      </c>
      <c r="AC59" s="751" t="str">
        <f t="shared" si="1"/>
        <v/>
      </c>
      <c r="AD59" s="303" t="str">
        <f t="shared" si="3"/>
        <v/>
      </c>
      <c r="AE59" s="266"/>
      <c r="AF59" s="266"/>
      <c r="AG59" s="303"/>
      <c r="AH59" s="274"/>
      <c r="AI59" s="264"/>
      <c r="AJ59" s="274"/>
      <c r="AK59" s="328" t="str">
        <f t="shared" si="2"/>
        <v/>
      </c>
      <c r="AO59" s="329"/>
      <c r="AP59" s="303"/>
      <c r="AQ59" s="303"/>
      <c r="AR59" s="303"/>
      <c r="AS59" s="326"/>
      <c r="AV59" s="328"/>
      <c r="AW59" s="264"/>
      <c r="AX59" s="303"/>
      <c r="AY59" s="285"/>
      <c r="AZ59" s="326"/>
      <c r="BB59" s="331"/>
      <c r="BE59" s="331"/>
    </row>
    <row r="60" spans="1:63" ht="18.600000000000001" customHeight="1" x14ac:dyDescent="0.25">
      <c r="A60" s="11" t="s">
        <v>344</v>
      </c>
      <c r="B60" s="11"/>
      <c r="C60" s="11"/>
      <c r="D60" s="1111" t="s">
        <v>271</v>
      </c>
      <c r="E60" s="1065"/>
      <c r="F60" s="1019"/>
      <c r="G60" s="1019"/>
      <c r="H60" s="1021"/>
      <c r="I60" s="1021"/>
      <c r="J60" s="1019"/>
      <c r="K60" s="11">
        <v>3</v>
      </c>
      <c r="L60" s="11"/>
      <c r="M60" s="11">
        <v>0</v>
      </c>
      <c r="N60" s="9">
        <v>1</v>
      </c>
      <c r="O60" s="7">
        <f>+M60/K60</f>
        <v>0</v>
      </c>
      <c r="P60" s="7">
        <f>+N60/K60</f>
        <v>0.33333333333333331</v>
      </c>
      <c r="Q60" s="8">
        <f>43*0.9*(0.05+0.9*0.16)*0.26*$K60*2.72/12</f>
        <v>1.3273790400000001</v>
      </c>
      <c r="R60" s="39">
        <f>43*0.9*(0.05+0.9*O60)*0.26*$K60*2.72/12</f>
        <v>0.34210800000000008</v>
      </c>
      <c r="S60" s="8">
        <f>IF(J60="R",R60,Q60)</f>
        <v>1.3273790400000001</v>
      </c>
      <c r="T60" s="8">
        <f>43*0.9*(0.05+0.9*P60)*0.26*$K60*2.72/12</f>
        <v>2.3947560000000006</v>
      </c>
      <c r="U60" s="8">
        <f>T60*5.2</f>
        <v>12.452731200000004</v>
      </c>
      <c r="V60" s="8">
        <f>T60*420.9</f>
        <v>1007.9528004000002</v>
      </c>
      <c r="W60" s="8">
        <f>IF(P60 &lt; 16%, 0, IF(K60 &lt; 1, 0, T60-S60))</f>
        <v>1.0673769600000005</v>
      </c>
      <c r="X60" s="8"/>
      <c r="Y60" s="257"/>
      <c r="Z60" s="257"/>
      <c r="AA60" s="8"/>
      <c r="AB60" s="744" t="s">
        <v>297</v>
      </c>
      <c r="AC60" s="750" t="str">
        <f t="shared" si="1"/>
        <v/>
      </c>
      <c r="AD60" s="39" t="str">
        <f t="shared" si="3"/>
        <v/>
      </c>
      <c r="AE60" s="34"/>
      <c r="AF60" s="34"/>
      <c r="AG60" s="8"/>
      <c r="AH60" s="133"/>
      <c r="AI60" s="8"/>
      <c r="AJ60" s="133"/>
      <c r="AK60" s="327" t="str">
        <f t="shared" si="2"/>
        <v/>
      </c>
      <c r="AO60" s="589"/>
      <c r="AP60" s="39"/>
      <c r="AQ60" s="39"/>
      <c r="AR60" s="39"/>
      <c r="AS60" s="306"/>
      <c r="AU60" s="28"/>
      <c r="AV60" s="589"/>
      <c r="AW60" s="39"/>
      <c r="AX60" s="39"/>
      <c r="AY60" s="136"/>
      <c r="AZ60" s="146"/>
      <c r="BA60" s="8"/>
      <c r="BB60" s="143"/>
      <c r="BE60" s="143"/>
      <c r="BF60" s="14" t="s">
        <v>345</v>
      </c>
      <c r="BG60" t="s">
        <v>300</v>
      </c>
    </row>
    <row r="61" spans="1:63" ht="18.600000000000001" customHeight="1" x14ac:dyDescent="0.25">
      <c r="A61" s="5"/>
      <c r="B61" s="11">
        <v>-78.525899999999993</v>
      </c>
      <c r="C61" s="11">
        <v>38.005097999999997</v>
      </c>
      <c r="D61" s="13">
        <v>431.01</v>
      </c>
      <c r="E61" s="1048" t="s">
        <v>281</v>
      </c>
      <c r="F61" s="1048" t="s">
        <v>342</v>
      </c>
      <c r="G61" s="1048"/>
      <c r="H61" s="1021" t="s">
        <v>343</v>
      </c>
      <c r="I61" s="1021" t="s">
        <v>284</v>
      </c>
      <c r="J61" s="1048"/>
      <c r="K61" s="11">
        <v>2.84</v>
      </c>
      <c r="L61" s="11"/>
      <c r="M61" s="11">
        <v>0</v>
      </c>
      <c r="N61" s="11">
        <v>1</v>
      </c>
      <c r="O61" s="7">
        <f>+M61/K61</f>
        <v>0</v>
      </c>
      <c r="P61" s="7">
        <f>+N61/K61</f>
        <v>0.35211267605633806</v>
      </c>
      <c r="Q61" s="8"/>
      <c r="R61" s="8"/>
      <c r="S61" s="8"/>
      <c r="T61" s="8">
        <f>IF(J60="TT",IF(F60="u/g detention",(43*0.9*(0.05+0.9*P61)*0.26*$K61*2.72/12)-AK59,(43*0.9*(0.05+0.9*P61)*0.26*$K61*2.72/12)-AK60),43*0.9*(0.05+0.9*P61)*0.26*$K61*2.72/12)</f>
        <v>2.3765102400000004</v>
      </c>
      <c r="U61" s="8">
        <f>T61*5.2</f>
        <v>12.357853248000003</v>
      </c>
      <c r="V61" s="8">
        <f>T61*420.9</f>
        <v>1000.2731600160001</v>
      </c>
      <c r="W61" s="8"/>
      <c r="X61" s="34" t="s">
        <v>285</v>
      </c>
      <c r="Y61" s="257">
        <v>2340.9</v>
      </c>
      <c r="Z61" s="257">
        <v>1</v>
      </c>
      <c r="AA61" s="258">
        <f>IF(Y61="NA", 0, (Y61/43560)*12/Z61)</f>
        <v>0.64487603305785124</v>
      </c>
      <c r="AB61" s="742" t="s">
        <v>296</v>
      </c>
      <c r="AC61" s="134" t="str">
        <f t="shared" si="1"/>
        <v>NA</v>
      </c>
      <c r="AD61" s="741">
        <f t="shared" si="3"/>
        <v>0</v>
      </c>
      <c r="AE61" s="134">
        <f>IF(ISNA(VLOOKUP(H61,'Efficiency Lookup'!$B$2:$C$38,2,FALSE)),0,(VLOOKUP(H61,'Efficiency Lookup'!$B$2:$C$38,2,FALSE)))</f>
        <v>0.5</v>
      </c>
      <c r="AF61" s="133">
        <f>T61*AE61</f>
        <v>1.1882551200000002</v>
      </c>
      <c r="AG61" s="134">
        <f>IF(ISNA(VLOOKUP(I61,'Efficiency Lookup'!$D$2:$E$35,2,FALSE)),0,VLOOKUP(I61,'Efficiency Lookup'!$D$2:$E$35,2,FALSE))</f>
        <v>0.45</v>
      </c>
      <c r="AH61" s="133">
        <f>T61*AG61</f>
        <v>1.0694296080000003</v>
      </c>
      <c r="AI61" s="140">
        <f>IF(X61="RR",IF((0.0304*(AA61^5)-0.2619*(AA61^4)+0.9161*(AA61^3)-1.6837*(AA61^2)+1.7072*AA61-0.0091)&gt;0.85,0.85,IF((0.0304*(AA61^5)-0.2619*(AA61^4)+0.9161*(AA61^3)-1.6837*(AA61^2)+1.7072*AA61-0.0091)&lt;0,0,(0.0304*(AA61^5)-0.2619*(AA61^4)+0.9161*(AA61^3)-1.6837*(AA61^2)+1.7072*AA61-0.0091))),IF((0.0239*(AA61^5)-0.2058*(AA61^4)+0.7198*(AA61^3)-1.3229*(AA61^2)+1.3414*AA61-0.0072)&gt;0.65,0.65,IF((0.0239*(AA61^5)-0.2058*(AA61^4)+0.7198*(AA61^3)-1.3229*(AA61^2)+1.3414*AA61-0.0072)&lt;0,0,(0.0239*(AA61^5)-0.2058*(AA61^4)+0.7198*(AA61^3)-1.3229*(AA61^2)+1.3414*AA61-0.0072))))</f>
        <v>0.59541776439850336</v>
      </c>
      <c r="AJ61" s="34">
        <f>T61*AI61</f>
        <v>1.4150164141709509</v>
      </c>
      <c r="AK61" s="516">
        <f t="shared" si="2"/>
        <v>1.4150164141709509</v>
      </c>
      <c r="AL61" s="34">
        <f>AK61</f>
        <v>1.4150164141709509</v>
      </c>
      <c r="AM61" s="313">
        <f>AL61-W60</f>
        <v>0.34763945417095043</v>
      </c>
      <c r="AN61" s="288">
        <f>AM61/AL61</f>
        <v>0.24567874315057339</v>
      </c>
      <c r="AO61" s="138">
        <f>IF(ISNA(VLOOKUP(I61,'Efficiency Lookup'!$D$2:$G$35,3,FALSE)),0,VLOOKUP(I61,'Efficiency Lookup'!$D$2:$G$35,3,FALSE))</f>
        <v>0.25</v>
      </c>
      <c r="AP61" s="133">
        <f>U61*AO61</f>
        <v>3.0894633120000008</v>
      </c>
      <c r="AQ61" s="135">
        <f>IF(X61="RR",IF((0.0308*(AA61^5)-0.2562*(AA61^4)+0.8634*(AA61^3)-1.5285*(AA61^2)+1.501*AA61-0.013)&gt;0.7,0.7,IF((0.0308*(AA61^5)-0.2562*(AA61^4)+0.8634*(AA61^3)-1.5285*(AA61^2)+1.501*AA61-0.013)&lt;0,0,(0.0308*(AA61^5)-0.2562*(AA61^4)+0.8634*(AA61^3)-1.5285*(AA61^2)+1.501*AA61-0.013))),IF((0.0152*(AA61^5)-0.131*(AA61^4)+0.4581*(AA61^3)-0.8418*(AA61^2)+0.8536*AA61-0.0046)&gt;0.65,0.65,IF((0.0152*(AA61^5)-0.131*(AA61^4)+0.4581*(AA61^3)-0.8418*(AA61^2)+0.8536*AA61-0.0046)&lt;0,0,(0.0152*(AA61^5)-0.131*(AA61^4)+0.4581*(AA61^3)-0.8418*(AA61^2)+0.8536*AA61-0.0046))))</f>
        <v>0.50998381844915297</v>
      </c>
      <c r="AR61" s="34">
        <f>U61*AQ61</f>
        <v>6.302305187249309</v>
      </c>
      <c r="AS61" s="400">
        <f>IF(AK61=AF61,MAX(AP61,AR61),IF(AK61=AH61,AP61,AR61))</f>
        <v>6.302305187249309</v>
      </c>
      <c r="AT61" s="313">
        <f>AS61</f>
        <v>6.302305187249309</v>
      </c>
      <c r="AU61" s="313">
        <f>AT61*AN61</f>
        <v>1.5483424173547493</v>
      </c>
      <c r="AV61" s="138">
        <f>IF(ISNA(VLOOKUP(I61,'Efficiency Lookup'!$D$2:$G$35,4,FALSE)),0,VLOOKUP(I61,'Efficiency Lookup'!$D$2:$G$35,4,FALSE))</f>
        <v>0.55000000000000004</v>
      </c>
      <c r="AW61" s="133">
        <f>$V61*AV61</f>
        <v>550.1502380088001</v>
      </c>
      <c r="AX61" s="135">
        <f>IF(X61="RR",IF((0.0326*(AA61^5)-0.2806*(AA61^4)+0.9816*(AA61^3)-1.8039*(AA61^2)+1.8292*AA61-0.0098)&gt;0.85,0.85,IF((0.0326*(AA61^5)-0.2806*(AA61^4)+0.9816*(AA61^3)-1.8039*(AA61^2)+1.8292*AA61-0.0098)&lt;0,0,(0.0326*(AA61^5)-0.2806*(AA61^4)+0.9816*(AA61^3)-1.8039*(AA61^2)+1.8292*AA61-0.0098))),IF((0.0304*(AA61^5)-0.2619*(AA61^4)+0.9161*(AA61^3)-1.6837*(AA61^2)+1.7072*AA61-0.0091)&gt;0.8,0.8,IF((0.0304*(AA61^5)-0.2619*(AA61^4)+0.9161*(AA61^3)-1.6837*(AA61^2)+1.7072*AA61-0.0091)&lt;0,0,(0.0304*(AA61^5)-0.2619*(AA61^4)+0.9161*(AA61^3)-1.6837*(AA61^2)+1.7072*AA61-0.0091))))</f>
        <v>0.63798285099863239</v>
      </c>
      <c r="AY61" s="144">
        <f>$V61*AX61</f>
        <v>638.15712240441894</v>
      </c>
      <c r="AZ61" s="400">
        <f>IF(AS61=AP61,AW61,AY61)</f>
        <v>638.15712240441894</v>
      </c>
      <c r="BA61" s="313">
        <f>AZ61</f>
        <v>638.15712240441894</v>
      </c>
      <c r="BB61" s="401">
        <f>BA61*AN61</f>
        <v>156.78163976490427</v>
      </c>
      <c r="BC61" s="318">
        <f>AM61</f>
        <v>0.34763945417095043</v>
      </c>
      <c r="BD61" s="318">
        <f>AU61</f>
        <v>1.5483424173547493</v>
      </c>
      <c r="BE61" s="332">
        <f>BB61</f>
        <v>156.78163976490427</v>
      </c>
      <c r="BF61" s="14"/>
      <c r="BG61" t="s">
        <v>287</v>
      </c>
    </row>
    <row r="62" spans="1:63" s="268" customFormat="1" ht="18.600000000000001" customHeight="1" x14ac:dyDescent="0.25">
      <c r="A62" s="269"/>
      <c r="B62" s="278"/>
      <c r="C62" s="278"/>
      <c r="D62" s="278"/>
      <c r="E62" s="262"/>
      <c r="F62" s="262"/>
      <c r="G62" s="262"/>
      <c r="H62" s="263"/>
      <c r="I62" s="263"/>
      <c r="J62" s="262"/>
      <c r="K62" s="271"/>
      <c r="L62" s="271"/>
      <c r="M62" s="271"/>
      <c r="N62" s="271"/>
      <c r="O62" s="273"/>
      <c r="P62" s="273"/>
      <c r="Q62" s="264"/>
      <c r="R62" s="264"/>
      <c r="S62" s="264"/>
      <c r="T62" s="264"/>
      <c r="U62" s="264"/>
      <c r="V62" s="264"/>
      <c r="W62" s="264"/>
      <c r="X62" s="264"/>
      <c r="Y62" s="265"/>
      <c r="Z62" s="265"/>
      <c r="AA62" s="264"/>
      <c r="AB62" s="743" t="s">
        <v>297</v>
      </c>
      <c r="AC62" s="751" t="str">
        <f t="shared" si="1"/>
        <v/>
      </c>
      <c r="AD62" s="303" t="str">
        <f t="shared" si="3"/>
        <v/>
      </c>
      <c r="AE62" s="266"/>
      <c r="AF62" s="266"/>
      <c r="AG62" s="264"/>
      <c r="AH62" s="274"/>
      <c r="AI62" s="264"/>
      <c r="AJ62" s="274"/>
      <c r="AK62" s="328" t="str">
        <f t="shared" si="2"/>
        <v/>
      </c>
      <c r="AO62" s="329"/>
      <c r="AP62" s="303"/>
      <c r="AQ62" s="303"/>
      <c r="AR62" s="303"/>
      <c r="AS62" s="326"/>
      <c r="AU62" s="267"/>
      <c r="AV62" s="329"/>
      <c r="AW62" s="303"/>
      <c r="AX62" s="303"/>
      <c r="AY62" s="285"/>
      <c r="AZ62" s="280"/>
      <c r="BA62" s="264"/>
      <c r="BB62" s="331"/>
      <c r="BE62" s="331"/>
      <c r="BF62" s="277"/>
    </row>
    <row r="63" spans="1:63" ht="18.600000000000001" customHeight="1" x14ac:dyDescent="0.25">
      <c r="A63" s="11" t="s">
        <v>346</v>
      </c>
      <c r="B63" s="11"/>
      <c r="C63" s="11"/>
      <c r="D63" s="1111" t="s">
        <v>271</v>
      </c>
      <c r="E63" s="1111"/>
      <c r="F63" s="1019" t="s">
        <v>347</v>
      </c>
      <c r="G63" s="1019"/>
      <c r="H63" s="1021"/>
      <c r="I63" s="1021"/>
      <c r="J63" s="1019" t="s">
        <v>348</v>
      </c>
      <c r="K63" s="11">
        <v>3.7</v>
      </c>
      <c r="L63" s="11"/>
      <c r="M63" s="11">
        <v>1.75</v>
      </c>
      <c r="N63" s="9">
        <v>2.61</v>
      </c>
      <c r="O63" s="7">
        <f>+M63/K63</f>
        <v>0.47297297297297297</v>
      </c>
      <c r="P63" s="7">
        <f>+N63/K63</f>
        <v>0.70540540540540531</v>
      </c>
      <c r="Q63" s="39">
        <f>43*0.9*(0.05+0.9*0.16)*0.26*$K63*2.72/12</f>
        <v>1.6371008160000002</v>
      </c>
      <c r="R63" s="8">
        <f>43*0.9*(0.05+0.9*O63)*0.26*$K63*2.72/12</f>
        <v>4.0140672000000004</v>
      </c>
      <c r="S63" s="8">
        <f>IF(J63="R",R63,Q63)</f>
        <v>4.0140672000000004</v>
      </c>
      <c r="T63" s="8">
        <f>43*0.9*(0.05+0.9*P63)*0.26*$K63*2.72/12</f>
        <v>5.7793444800000016</v>
      </c>
      <c r="U63" s="8">
        <f>T63*5.2</f>
        <v>30.05259129600001</v>
      </c>
      <c r="V63" s="8">
        <f>T63*420.9</f>
        <v>2432.5260916320003</v>
      </c>
      <c r="W63" s="8">
        <f>IF(P63 &lt; 16%, 0, IF(K63 &lt; 1, 0, T63-S63))</f>
        <v>1.7652772800000012</v>
      </c>
      <c r="X63" s="34"/>
      <c r="Y63" s="257"/>
      <c r="Z63" s="257"/>
      <c r="AA63" s="258"/>
      <c r="AB63" s="742"/>
      <c r="AC63" s="134" t="str">
        <f t="shared" si="1"/>
        <v/>
      </c>
      <c r="AD63" s="133"/>
      <c r="AE63" s="134"/>
      <c r="AF63" s="133"/>
      <c r="AG63" s="134"/>
      <c r="AH63" s="133"/>
      <c r="AI63" s="132"/>
      <c r="AJ63" s="133"/>
      <c r="AK63" s="583"/>
      <c r="AL63" s="133"/>
      <c r="AM63" s="133"/>
      <c r="AN63" s="134"/>
      <c r="AO63" s="138"/>
      <c r="AP63" s="133"/>
      <c r="AQ63" s="134"/>
      <c r="AR63" s="133"/>
      <c r="AS63" s="324"/>
      <c r="AT63" s="133"/>
      <c r="AU63" s="133"/>
      <c r="AV63" s="138"/>
      <c r="AW63" s="133"/>
      <c r="AX63" s="134"/>
      <c r="AY63" s="137"/>
      <c r="AZ63" s="400"/>
      <c r="BA63" s="133"/>
      <c r="BB63" s="137"/>
      <c r="BC63" s="337"/>
      <c r="BD63" s="337"/>
      <c r="BE63" s="338"/>
      <c r="BF63" s="14" t="s">
        <v>349</v>
      </c>
      <c r="BG63" t="s">
        <v>350</v>
      </c>
    </row>
    <row r="64" spans="1:63" ht="18.600000000000001" customHeight="1" x14ac:dyDescent="0.25">
      <c r="A64" s="10" t="s">
        <v>291</v>
      </c>
      <c r="B64" s="11">
        <v>-78.452448000000004</v>
      </c>
      <c r="C64" s="11">
        <v>38.032432</v>
      </c>
      <c r="D64" s="16">
        <v>432.02</v>
      </c>
      <c r="E64" s="1048" t="s">
        <v>289</v>
      </c>
      <c r="F64" s="1048" t="s">
        <v>351</v>
      </c>
      <c r="G64" s="1021" t="s">
        <v>291</v>
      </c>
      <c r="H64" s="1021"/>
      <c r="I64" s="1021"/>
      <c r="J64" s="1015"/>
      <c r="K64" s="9">
        <v>0.31648900000000002</v>
      </c>
      <c r="L64" s="9"/>
      <c r="M64" s="9">
        <v>0.175792</v>
      </c>
      <c r="N64" s="9">
        <v>0.21466000000000002</v>
      </c>
      <c r="O64" s="7">
        <f>+M64/K64</f>
        <v>0.55544426504554656</v>
      </c>
      <c r="P64" s="7">
        <f t="shared" ref="P64:P71" si="4">+N64/K64</f>
        <v>0.67825422052583184</v>
      </c>
      <c r="Q64" s="8"/>
      <c r="R64" s="8"/>
      <c r="S64" s="8"/>
      <c r="T64" s="8">
        <f>43*0.9*(0.05+0.9*P64)*0.26*$K64*2.72/12</f>
        <v>0.47671255928400019</v>
      </c>
      <c r="U64" s="8">
        <f t="shared" ref="U64:U71" si="5">T64*5.2</f>
        <v>2.4789053082768011</v>
      </c>
      <c r="V64" s="8">
        <f t="shared" ref="V64:V71" si="6">T64*420.9</f>
        <v>200.64831620263567</v>
      </c>
      <c r="W64" s="8"/>
      <c r="X64" s="36" t="s">
        <v>278</v>
      </c>
      <c r="Y64" s="257">
        <v>47.2</v>
      </c>
      <c r="Z64" s="257">
        <f t="shared" ref="Z64:Z70" si="7">N64</f>
        <v>0.21466000000000002</v>
      </c>
      <c r="AA64" s="258">
        <f t="shared" ref="AA64:AA71" si="8">IF(Y64="NA", 0, (Y64/43560)*12/Z64)</f>
        <v>6.0573720399406686E-2</v>
      </c>
      <c r="AB64" s="742" t="s">
        <v>295</v>
      </c>
      <c r="AC64" s="288">
        <f t="shared" si="1"/>
        <v>0.5</v>
      </c>
      <c r="AD64" s="742">
        <f t="shared" ref="AD64:AD71" si="9">IF(AC64="NA",0,IF(AC64="","",T64*AC64))</f>
        <v>0.2383562796420001</v>
      </c>
      <c r="AE64" s="336">
        <f>IF(ISNA(VLOOKUP(H64,'Efficiency Lookup'!$B$2:$C$38,2,FALSE)),0,(VLOOKUP(H64,'Efficiency Lookup'!$B$2:$C$38,2,FALSE)))</f>
        <v>0</v>
      </c>
      <c r="AF64" s="805">
        <f t="shared" ref="AF64:AF71" si="10">T64*AE64</f>
        <v>0</v>
      </c>
      <c r="AG64" s="336">
        <f>IF(ISNA(VLOOKUP(I64,'Efficiency Lookup'!$D$2:$E$35,2,FALSE)),0,VLOOKUP(I64,'Efficiency Lookup'!$D$2:$E$35,2,FALSE))</f>
        <v>0</v>
      </c>
      <c r="AH64" s="805">
        <f t="shared" ref="AH64:AH71" si="11">T64*AG64</f>
        <v>0</v>
      </c>
      <c r="AI64" s="806">
        <f t="shared" ref="AI64:AI71" si="12">IF(X64="RR",IF((0.0304*(AA64^5)-0.2619*(AA64^4)+0.9161*(AA64^3)-1.6837*(AA64^2)+1.7072*AA64-0.0091)&gt;0.85,0.85,IF((0.0304*(AA64^5)-0.2619*(AA64^4)+0.9161*(AA64^3)-1.6837*(AA64^2)+1.7072*AA64-0.0091)&lt;0,0,(0.0304*(AA64^5)-0.2619*(AA64^4)+0.9161*(AA64^3)-1.6837*(AA64^2)+1.7072*AA64-0.0091))),IF((0.0239*(AA64^5)-0.2058*(AA64^4)+0.7198*(AA64^3)-1.3229*(AA64^2)+1.3414*AA64-0.0072)&gt;0.65,0.65,IF((0.0239*(AA64^5)-0.2058*(AA64^4)+0.7198*(AA64^3)-1.3229*(AA64^2)+1.3414*AA64-0.0072)&lt;0,0,(0.0239*(AA64^5)-0.2058*(AA64^4)+0.7198*(AA64^3)-1.3229*(AA64^2)+1.3414*AA64-0.0072))))</f>
        <v>6.9356864567570481E-2</v>
      </c>
      <c r="AJ64" s="805">
        <f t="shared" ref="AJ64:AJ71" si="13">T64*AI64</f>
        <v>3.3063288411920314E-2</v>
      </c>
      <c r="AK64" s="516">
        <f t="shared" ref="AK64:AK70" si="14">IF(AC64="","",MAX(AD64,AF64,AH64,AJ64))</f>
        <v>0.2383562796420001</v>
      </c>
      <c r="AL64" s="1121">
        <f>SUM(AK64:AK71)</f>
        <v>1.7010835761036005</v>
      </c>
      <c r="AM64" s="1100">
        <f>AL64-W63</f>
        <v>-6.4193703896400667E-2</v>
      </c>
      <c r="AN64" s="1112">
        <f>AM64/AL64</f>
        <v>-3.7736948847298203E-2</v>
      </c>
      <c r="AO64" s="138">
        <f>IF(ISNA(VLOOKUP(I64,'Efficiency Lookup'!$D$2:$G$35,3,FALSE)),0,VLOOKUP(I64,'Efficiency Lookup'!$D$2:$G$35,3,FALSE))</f>
        <v>0</v>
      </c>
      <c r="AP64" s="133">
        <f t="shared" ref="AP64:AP71" si="15">U64*AO64</f>
        <v>0</v>
      </c>
      <c r="AQ64" s="135">
        <f t="shared" ref="AQ64:AQ71" si="16">IF(X64="RR",IF((0.0308*(AA64^5)-0.2562*(AA64^4)+0.8634*(AA64^3)-1.5285*(AA64^2)+1.501*AA64-0.013)&gt;0.7,0.7,IF((0.0308*(AA64^5)-0.2562*(AA64^4)+0.8634*(AA64^3)-1.5285*(AA64^2)+1.501*AA64-0.013)&lt;0,0,(0.0308*(AA64^5)-0.2562*(AA64^4)+0.8634*(AA64^3)-1.5285*(AA64^2)+1.501*AA64-0.013))),IF((0.0152*(AA64^5)-0.131*(AA64^4)+0.4581*(AA64^3)-0.8418*(AA64^2)+0.8536*AA64-0.0046)&gt;0.65,0.65,IF((0.0152*(AA64^5)-0.131*(AA64^4)+0.4581*(AA64^3)-0.8418*(AA64^2)+0.8536*AA64-0.0046)&lt;0,0,(0.0152*(AA64^5)-0.131*(AA64^4)+0.4581*(AA64^3)-0.8418*(AA64^2)+0.8536*AA64-0.0046))))</f>
        <v>4.4117079770712206E-2</v>
      </c>
      <c r="AR64" s="34">
        <f t="shared" ref="AR64:AR71" si="17">U64*AQ64</f>
        <v>0.10936206322928957</v>
      </c>
      <c r="AS64" s="400">
        <f t="shared" ref="AS64:AS71" si="18">IF(AK64=AF64,MAX(AP64,AR64),IF(AK64=AH64,AP64,AR64))</f>
        <v>0.10936206322928957</v>
      </c>
      <c r="AT64" s="1100">
        <f>SUM(AS64:AS71)</f>
        <v>1.1471943073135491</v>
      </c>
      <c r="AU64" s="1104">
        <f>AT64*AN64</f>
        <v>-4.3291612893003095E-2</v>
      </c>
      <c r="AV64" s="138">
        <f>IF(ISNA(VLOOKUP(I64,'Efficiency Lookup'!$D$2:$G$35,4,FALSE)),0,VLOOKUP(I64,'Efficiency Lookup'!$D$2:$G$35,4,FALSE))</f>
        <v>0</v>
      </c>
      <c r="AW64" s="133">
        <f t="shared" ref="AW64:AW71" si="19">$V64*AV64</f>
        <v>0</v>
      </c>
      <c r="AX64" s="135">
        <f t="shared" ref="AX64:AX71" si="20">IF(X64="RR",IF((0.0326*(AA64^5)-0.2806*(AA64^4)+0.9816*(AA64^3)-1.8039*(AA64^2)+1.8292*AA64-0.0098)&gt;0.85,0.85,IF((0.0326*(AA64^5)-0.2806*(AA64^4)+0.9816*(AA64^3)-1.8039*(AA64^2)+1.8292*AA64-0.0098)&lt;0,0,(0.0326*(AA64^5)-0.2806*(AA64^4)+0.9816*(AA64^3)-1.8039*(AA64^2)+1.8292*AA64-0.0098))),IF((0.0304*(AA64^5)-0.2619*(AA64^4)+0.9161*(AA64^3)-1.6837*(AA64^2)+1.7072*AA64-0.0091)&gt;0.8,0.8,IF((0.0304*(AA64^5)-0.2619*(AA64^4)+0.9161*(AA64^3)-1.6837*(AA64^2)+1.7072*AA64-0.0091)&lt;0,0,(0.0304*(AA64^5)-0.2619*(AA64^4)+0.9161*(AA64^3)-1.6837*(AA64^2)+1.7072*AA64-0.0091))))</f>
        <v>8.8333771744587369E-2</v>
      </c>
      <c r="AY64" s="144">
        <f t="shared" ref="AY64:AY71" si="21">$V64*AX64</f>
        <v>17.72402256437941</v>
      </c>
      <c r="AZ64" s="400">
        <f t="shared" ref="AZ64:AZ71" si="22">IF(AS64=AP64,AW64,AY64)</f>
        <v>17.72402256437941</v>
      </c>
      <c r="BA64" s="1100">
        <v>6</v>
      </c>
      <c r="BB64" s="1100">
        <f>BA64*AN64</f>
        <v>-0.22642169308378923</v>
      </c>
      <c r="BC64" s="1101">
        <f>AM64</f>
        <v>-6.4193703896400667E-2</v>
      </c>
      <c r="BD64" s="1102">
        <f>AU64</f>
        <v>-4.3291612893003095E-2</v>
      </c>
      <c r="BE64" s="1103">
        <f>BB64</f>
        <v>-0.22642169308378923</v>
      </c>
      <c r="BF64" s="14"/>
      <c r="BG64" s="812"/>
      <c r="BH64" s="812"/>
      <c r="BI64" s="812"/>
      <c r="BJ64" s="812"/>
      <c r="BK64" s="812"/>
    </row>
    <row r="65" spans="1:63" ht="18.600000000000001" customHeight="1" x14ac:dyDescent="0.25">
      <c r="A65" s="10" t="s">
        <v>352</v>
      </c>
      <c r="B65" s="11">
        <v>-78.452809999999999</v>
      </c>
      <c r="C65" s="11">
        <v>38.033003000000001</v>
      </c>
      <c r="D65" s="16">
        <v>432.04</v>
      </c>
      <c r="E65" s="1048" t="s">
        <v>289</v>
      </c>
      <c r="F65" s="1048"/>
      <c r="G65" s="1048" t="s">
        <v>352</v>
      </c>
      <c r="H65" s="1021"/>
      <c r="I65" s="1021"/>
      <c r="J65" s="1015"/>
      <c r="K65" s="9">
        <v>0.25701600000000002</v>
      </c>
      <c r="L65" s="9"/>
      <c r="M65" s="9">
        <v>0</v>
      </c>
      <c r="N65" s="9">
        <v>5.6284000000000001E-2</v>
      </c>
      <c r="O65" s="7">
        <f t="shared" ref="O65:O71" si="23">+M65/K65</f>
        <v>0</v>
      </c>
      <c r="P65" s="7">
        <f t="shared" si="4"/>
        <v>0.21899025741588071</v>
      </c>
      <c r="Q65" s="8"/>
      <c r="R65" s="8"/>
      <c r="S65" s="8"/>
      <c r="T65" s="8">
        <f t="shared" ref="T65:T71" si="24">43*0.9*(0.05+0.9*P65)*0.26*$K65*2.72/12</f>
        <v>0.14484031660800004</v>
      </c>
      <c r="U65" s="8">
        <f t="shared" si="5"/>
        <v>0.75316964636160022</v>
      </c>
      <c r="V65" s="8">
        <f t="shared" si="6"/>
        <v>60.963289260307214</v>
      </c>
      <c r="W65" s="8"/>
      <c r="X65" s="36" t="s">
        <v>278</v>
      </c>
      <c r="Y65" s="257">
        <v>120.3</v>
      </c>
      <c r="Z65" s="257">
        <f t="shared" si="7"/>
        <v>5.6284000000000001E-2</v>
      </c>
      <c r="AA65" s="258">
        <f t="shared" si="8"/>
        <v>0.58880846897463934</v>
      </c>
      <c r="AB65" s="742" t="s">
        <v>295</v>
      </c>
      <c r="AC65" s="288">
        <f t="shared" si="1"/>
        <v>0.45</v>
      </c>
      <c r="AD65" s="742">
        <f t="shared" si="9"/>
        <v>6.5178142473600015E-2</v>
      </c>
      <c r="AE65" s="336">
        <f>IF(ISNA(VLOOKUP(H65,'Efficiency Lookup'!$B$2:$C$38,2,FALSE)),0,(VLOOKUP(H65,'Efficiency Lookup'!$B$2:$C$38,2,FALSE)))</f>
        <v>0</v>
      </c>
      <c r="AF65" s="805">
        <f t="shared" si="10"/>
        <v>0</v>
      </c>
      <c r="AG65" s="336">
        <f>IF(ISNA(VLOOKUP(I65,'Efficiency Lookup'!$D$2:$E$35,2,FALSE)),0,VLOOKUP(I65,'Efficiency Lookup'!$D$2:$E$35,2,FALSE))</f>
        <v>0</v>
      </c>
      <c r="AH65" s="805">
        <f t="shared" si="11"/>
        <v>0</v>
      </c>
      <c r="AI65" s="806">
        <f t="shared" si="12"/>
        <v>0.44787706784749093</v>
      </c>
      <c r="AJ65" s="805">
        <f t="shared" si="13"/>
        <v>6.4870656308493299E-2</v>
      </c>
      <c r="AK65" s="516">
        <f t="shared" si="14"/>
        <v>6.5178142473600015E-2</v>
      </c>
      <c r="AL65" s="1121"/>
      <c r="AM65" s="1100"/>
      <c r="AN65" s="1112"/>
      <c r="AO65" s="138">
        <f>IF(ISNA(VLOOKUP(I65,'Efficiency Lookup'!$D$2:$G$35,3,FALSE)),0,VLOOKUP(I65,'Efficiency Lookup'!$D$2:$G$35,3,FALSE))</f>
        <v>0</v>
      </c>
      <c r="AP65" s="133">
        <f t="shared" si="15"/>
        <v>0</v>
      </c>
      <c r="AQ65" s="135">
        <f t="shared" si="16"/>
        <v>0.2850038157378354</v>
      </c>
      <c r="AR65" s="34">
        <f t="shared" si="17"/>
        <v>0.21465622311097216</v>
      </c>
      <c r="AS65" s="400">
        <f t="shared" si="18"/>
        <v>0.21465622311097216</v>
      </c>
      <c r="AT65" s="1100"/>
      <c r="AU65" s="1104"/>
      <c r="AV65" s="138">
        <f>IF(ISNA(VLOOKUP(I65,'Efficiency Lookup'!$D$2:$G$35,4,FALSE)),0,VLOOKUP(I65,'Efficiency Lookup'!$D$2:$G$35,4,FALSE))</f>
        <v>0</v>
      </c>
      <c r="AW65" s="133">
        <f t="shared" si="19"/>
        <v>0</v>
      </c>
      <c r="AX65" s="135">
        <f t="shared" si="20"/>
        <v>0.57006456798576521</v>
      </c>
      <c r="AY65" s="144">
        <f t="shared" si="21"/>
        <v>34.753011155168274</v>
      </c>
      <c r="AZ65" s="400">
        <f t="shared" si="22"/>
        <v>34.753011155168274</v>
      </c>
      <c r="BA65" s="1100"/>
      <c r="BB65" s="1100"/>
      <c r="BC65" s="1101"/>
      <c r="BD65" s="1102"/>
      <c r="BE65" s="1103"/>
      <c r="BF65" s="14"/>
      <c r="BG65" s="812"/>
      <c r="BH65" s="812"/>
      <c r="BI65" s="812"/>
      <c r="BJ65" s="812"/>
      <c r="BK65" s="812"/>
    </row>
    <row r="66" spans="1:63" ht="18.600000000000001" customHeight="1" x14ac:dyDescent="0.25">
      <c r="A66" s="10" t="s">
        <v>291</v>
      </c>
      <c r="B66" s="11">
        <v>-78.452732999999995</v>
      </c>
      <c r="C66" s="11">
        <v>38.033594000000001</v>
      </c>
      <c r="D66" s="16">
        <v>432.05</v>
      </c>
      <c r="E66" s="1048" t="s">
        <v>289</v>
      </c>
      <c r="F66" s="1048" t="s">
        <v>353</v>
      </c>
      <c r="G66" s="1021" t="s">
        <v>291</v>
      </c>
      <c r="H66" s="1021"/>
      <c r="I66" s="1021"/>
      <c r="J66" s="1015"/>
      <c r="K66" s="9">
        <v>9.4548999999999994E-2</v>
      </c>
      <c r="L66" s="9"/>
      <c r="M66" s="9">
        <v>9.0038000000000007E-2</v>
      </c>
      <c r="N66" s="9">
        <v>9.2258000000000007E-2</v>
      </c>
      <c r="O66" s="7">
        <f t="shared" si="23"/>
        <v>0.95228928915165689</v>
      </c>
      <c r="P66" s="7">
        <f t="shared" si="4"/>
        <v>0.97576917788659856</v>
      </c>
      <c r="Q66" s="8"/>
      <c r="R66" s="8"/>
      <c r="S66" s="8"/>
      <c r="T66" s="8">
        <f t="shared" si="24"/>
        <v>0.20015518894800008</v>
      </c>
      <c r="U66" s="8">
        <f t="shared" si="5"/>
        <v>1.0408069825296005</v>
      </c>
      <c r="V66" s="8">
        <f t="shared" si="6"/>
        <v>84.245319028213231</v>
      </c>
      <c r="W66" s="8"/>
      <c r="X66" s="36" t="s">
        <v>278</v>
      </c>
      <c r="Y66" s="257">
        <v>35.4</v>
      </c>
      <c r="Z66" s="257">
        <f t="shared" si="7"/>
        <v>9.2258000000000007E-2</v>
      </c>
      <c r="AA66" s="258">
        <f t="shared" si="8"/>
        <v>0.10570428706131152</v>
      </c>
      <c r="AB66" s="742" t="s">
        <v>295</v>
      </c>
      <c r="AC66" s="288">
        <f t="shared" si="1"/>
        <v>0.5</v>
      </c>
      <c r="AD66" s="742">
        <f t="shared" si="9"/>
        <v>0.10007759447400004</v>
      </c>
      <c r="AE66" s="336">
        <f>IF(ISNA(VLOOKUP(H66,'Efficiency Lookup'!$B$2:$C$38,2,FALSE)),0,(VLOOKUP(H66,'Efficiency Lookup'!$B$2:$C$38,2,FALSE)))</f>
        <v>0</v>
      </c>
      <c r="AF66" s="805">
        <f t="shared" si="10"/>
        <v>0</v>
      </c>
      <c r="AG66" s="336">
        <f>IF(ISNA(VLOOKUP(I66,'Efficiency Lookup'!$D$2:$E$35,2,FALSE)),0,VLOOKUP(I66,'Efficiency Lookup'!$D$2:$E$35,2,FALSE))</f>
        <v>0</v>
      </c>
      <c r="AH66" s="805">
        <f t="shared" si="11"/>
        <v>0</v>
      </c>
      <c r="AI66" s="806">
        <f t="shared" si="12"/>
        <v>0.12063520546313115</v>
      </c>
      <c r="AJ66" s="805">
        <f t="shared" si="13"/>
        <v>2.4145762343253826E-2</v>
      </c>
      <c r="AK66" s="516">
        <f t="shared" si="14"/>
        <v>0.10007759447400004</v>
      </c>
      <c r="AL66" s="1121"/>
      <c r="AM66" s="1100"/>
      <c r="AN66" s="1112"/>
      <c r="AO66" s="138">
        <f>IF(ISNA(VLOOKUP(I66,'Efficiency Lookup'!$D$2:$G$35,3,FALSE)),0,VLOOKUP(I66,'Efficiency Lookup'!$D$2:$G$35,3,FALSE))</f>
        <v>0</v>
      </c>
      <c r="AP66" s="133">
        <f t="shared" si="15"/>
        <v>0</v>
      </c>
      <c r="AQ66" s="135">
        <f t="shared" si="16"/>
        <v>7.6748311214820536E-2</v>
      </c>
      <c r="AR66" s="34">
        <f t="shared" si="17"/>
        <v>7.9880178209740055E-2</v>
      </c>
      <c r="AS66" s="400">
        <f t="shared" si="18"/>
        <v>7.9880178209740055E-2</v>
      </c>
      <c r="AT66" s="1100"/>
      <c r="AU66" s="1104"/>
      <c r="AV66" s="138">
        <f>IF(ISNA(VLOOKUP(I66,'Efficiency Lookup'!$D$2:$G$35,4,FALSE)),0,VLOOKUP(I66,'Efficiency Lookup'!$D$2:$G$35,4,FALSE))</f>
        <v>0</v>
      </c>
      <c r="AW66" s="133">
        <f t="shared" si="19"/>
        <v>0</v>
      </c>
      <c r="AX66" s="135">
        <f t="shared" si="20"/>
        <v>0.15359539946690021</v>
      </c>
      <c r="AY66" s="144">
        <f>$V66*AX66</f>
        <v>12.939693429354861</v>
      </c>
      <c r="AZ66" s="400">
        <f t="shared" si="22"/>
        <v>12.939693429354861</v>
      </c>
      <c r="BA66" s="1100"/>
      <c r="BB66" s="1100"/>
      <c r="BC66" s="1101"/>
      <c r="BD66" s="1102"/>
      <c r="BE66" s="1103"/>
      <c r="BF66" s="14"/>
      <c r="BG66" s="812"/>
      <c r="BH66" s="812"/>
      <c r="BI66" s="812"/>
      <c r="BJ66" s="812"/>
      <c r="BK66" s="812"/>
    </row>
    <row r="67" spans="1:63" ht="18.600000000000001" customHeight="1" x14ac:dyDescent="0.25">
      <c r="A67" s="10" t="s">
        <v>352</v>
      </c>
      <c r="B67" s="11">
        <v>-78.452720999999997</v>
      </c>
      <c r="C67" s="11">
        <v>38.033000000000001</v>
      </c>
      <c r="D67" s="16">
        <v>432.08</v>
      </c>
      <c r="E67" s="1048" t="s">
        <v>289</v>
      </c>
      <c r="F67" s="1048"/>
      <c r="G67" s="1021" t="s">
        <v>352</v>
      </c>
      <c r="H67" s="1021"/>
      <c r="I67" s="1021"/>
      <c r="J67" s="1015"/>
      <c r="K67" s="9">
        <v>0.35127900000000001</v>
      </c>
      <c r="L67" s="9"/>
      <c r="M67" s="9">
        <v>1.639E-3</v>
      </c>
      <c r="N67" s="9">
        <v>0.30785299999999999</v>
      </c>
      <c r="O67" s="7">
        <f t="shared" si="23"/>
        <v>4.6658069511698675E-3</v>
      </c>
      <c r="P67" s="7">
        <f t="shared" si="4"/>
        <v>0.8763774663444156</v>
      </c>
      <c r="Q67" s="8"/>
      <c r="R67" s="8"/>
      <c r="S67" s="8"/>
      <c r="T67" s="8">
        <f t="shared" si="24"/>
        <v>0.67197229678800019</v>
      </c>
      <c r="U67" s="8">
        <f t="shared" si="5"/>
        <v>3.4942559432976013</v>
      </c>
      <c r="V67" s="8">
        <f t="shared" si="6"/>
        <v>282.83313971806928</v>
      </c>
      <c r="W67" s="8"/>
      <c r="X67" s="36" t="s">
        <v>278</v>
      </c>
      <c r="Y67" s="257">
        <v>120.3</v>
      </c>
      <c r="Z67" s="257">
        <f t="shared" si="7"/>
        <v>0.30785299999999999</v>
      </c>
      <c r="AA67" s="258">
        <f t="shared" si="8"/>
        <v>0.10765039115346806</v>
      </c>
      <c r="AB67" s="742" t="s">
        <v>295</v>
      </c>
      <c r="AC67" s="288">
        <f t="shared" si="1"/>
        <v>0.45</v>
      </c>
      <c r="AD67" s="742">
        <f t="shared" si="9"/>
        <v>0.30238753355460007</v>
      </c>
      <c r="AE67" s="336">
        <v>0.65</v>
      </c>
      <c r="AF67" s="805">
        <f t="shared" si="10"/>
        <v>0.43678199291220016</v>
      </c>
      <c r="AG67" s="336">
        <f>IF(ISNA(VLOOKUP(I67,'Efficiency Lookup'!$D$2:$E$35,2,FALSE)),0,VLOOKUP(I67,'Efficiency Lookup'!$D$2:$E$35,2,FALSE))</f>
        <v>0</v>
      </c>
      <c r="AH67" s="805">
        <f t="shared" si="11"/>
        <v>0</v>
      </c>
      <c r="AI67" s="806">
        <f t="shared" si="12"/>
        <v>0.1227423378041453</v>
      </c>
      <c r="AJ67" s="805">
        <f t="shared" si="13"/>
        <v>8.2479450647380104E-2</v>
      </c>
      <c r="AK67" s="516">
        <f t="shared" si="14"/>
        <v>0.43678199291220016</v>
      </c>
      <c r="AL67" s="1121"/>
      <c r="AM67" s="1100"/>
      <c r="AN67" s="1112"/>
      <c r="AO67" s="138">
        <f>IF(ISNA(VLOOKUP(I67,'Efficiency Lookup'!$D$2:$G$35,3,FALSE)),0,VLOOKUP(I67,'Efficiency Lookup'!$D$2:$G$35,3,FALSE))</f>
        <v>0</v>
      </c>
      <c r="AP67" s="133">
        <f t="shared" si="15"/>
        <v>0</v>
      </c>
      <c r="AQ67" s="135">
        <f t="shared" si="16"/>
        <v>7.8089199768104106E-2</v>
      </c>
      <c r="AR67" s="34">
        <f t="shared" si="17"/>
        <v>0.27286365039705146</v>
      </c>
      <c r="AS67" s="400">
        <f t="shared" si="18"/>
        <v>0.27286365039705146</v>
      </c>
      <c r="AT67" s="1100"/>
      <c r="AU67" s="1104"/>
      <c r="AV67" s="138">
        <f>IF(ISNA(VLOOKUP(I67,'Efficiency Lookup'!$D$2:$G$35,4,FALSE)),0,VLOOKUP(I67,'Efficiency Lookup'!$D$2:$G$35,4,FALSE))</f>
        <v>0</v>
      </c>
      <c r="AW67" s="133">
        <f t="shared" si="19"/>
        <v>0</v>
      </c>
      <c r="AX67" s="135">
        <f t="shared" si="20"/>
        <v>0.15627712935331264</v>
      </c>
      <c r="AY67" s="144">
        <f t="shared" si="21"/>
        <v>44.20035116112426</v>
      </c>
      <c r="AZ67" s="400">
        <f t="shared" si="22"/>
        <v>44.20035116112426</v>
      </c>
      <c r="BA67" s="1100"/>
      <c r="BB67" s="1100"/>
      <c r="BC67" s="1101"/>
      <c r="BD67" s="1102"/>
      <c r="BE67" s="1103"/>
      <c r="BF67" s="14"/>
      <c r="BG67" s="812"/>
      <c r="BH67" s="812"/>
      <c r="BI67" s="812"/>
      <c r="BJ67" s="812"/>
      <c r="BK67" s="812"/>
    </row>
    <row r="68" spans="1:63" ht="18.600000000000001" customHeight="1" x14ac:dyDescent="0.25">
      <c r="A68" s="10" t="s">
        <v>291</v>
      </c>
      <c r="B68" s="11">
        <v>-78.452693999999994</v>
      </c>
      <c r="C68" s="11">
        <v>38.032525999999997</v>
      </c>
      <c r="D68" s="16">
        <v>432.09</v>
      </c>
      <c r="E68" s="1048" t="s">
        <v>289</v>
      </c>
      <c r="F68" s="1048" t="s">
        <v>351</v>
      </c>
      <c r="G68" s="1021" t="s">
        <v>291</v>
      </c>
      <c r="H68" s="1021"/>
      <c r="I68" s="1021"/>
      <c r="J68" s="1015"/>
      <c r="K68" s="9">
        <v>0.32292199999999999</v>
      </c>
      <c r="L68" s="9"/>
      <c r="M68" s="9">
        <v>0</v>
      </c>
      <c r="N68" s="9">
        <v>0.13932900000000001</v>
      </c>
      <c r="O68" s="7">
        <f t="shared" si="23"/>
        <v>0</v>
      </c>
      <c r="P68" s="7">
        <f t="shared" si="4"/>
        <v>0.43146332550894645</v>
      </c>
      <c r="Q68" s="8"/>
      <c r="R68" s="8"/>
      <c r="S68" s="8"/>
      <c r="T68" s="8">
        <f t="shared" si="24"/>
        <v>0.32281812638400004</v>
      </c>
      <c r="U68" s="8">
        <f t="shared" si="5"/>
        <v>1.6786542571968002</v>
      </c>
      <c r="V68" s="8">
        <f t="shared" si="6"/>
        <v>135.8741493950256</v>
      </c>
      <c r="W68" s="8"/>
      <c r="X68" s="36" t="s">
        <v>278</v>
      </c>
      <c r="Y68" s="257">
        <v>47.2</v>
      </c>
      <c r="Z68" s="257">
        <f t="shared" si="7"/>
        <v>0.13932900000000001</v>
      </c>
      <c r="AA68" s="258">
        <f t="shared" si="8"/>
        <v>9.3324109273278638E-2</v>
      </c>
      <c r="AB68" s="742" t="s">
        <v>295</v>
      </c>
      <c r="AC68" s="288">
        <f t="shared" si="1"/>
        <v>0.5</v>
      </c>
      <c r="AD68" s="742">
        <f t="shared" si="9"/>
        <v>0.16140906319200002</v>
      </c>
      <c r="AE68" s="336">
        <v>0.65</v>
      </c>
      <c r="AF68" s="805">
        <f t="shared" si="10"/>
        <v>0.20983178214960002</v>
      </c>
      <c r="AG68" s="336">
        <f>IF(ISNA(VLOOKUP(I68,'Efficiency Lookup'!$D$2:$E$35,2,FALSE)),0,VLOOKUP(I68,'Efficiency Lookup'!$D$2:$E$35,2,FALSE))</f>
        <v>0</v>
      </c>
      <c r="AH68" s="805">
        <f t="shared" si="11"/>
        <v>0</v>
      </c>
      <c r="AI68" s="806">
        <f t="shared" si="12"/>
        <v>0.10703291808846044</v>
      </c>
      <c r="AJ68" s="805">
        <f t="shared" si="13"/>
        <v>3.4552166078728942E-2</v>
      </c>
      <c r="AK68" s="516">
        <f t="shared" si="14"/>
        <v>0.20983178214960002</v>
      </c>
      <c r="AL68" s="1121"/>
      <c r="AM68" s="1100"/>
      <c r="AN68" s="1112"/>
      <c r="AO68" s="138">
        <f>IF(ISNA(VLOOKUP(I68,'Efficiency Lookup'!$D$2:$G$35,3,FALSE)),0,VLOOKUP(I68,'Efficiency Lookup'!$D$2:$G$35,3,FALSE))</f>
        <v>0</v>
      </c>
      <c r="AP68" s="133">
        <f t="shared" si="15"/>
        <v>0</v>
      </c>
      <c r="AQ68" s="135">
        <f t="shared" si="16"/>
        <v>6.8092408349161471E-2</v>
      </c>
      <c r="AR68" s="34">
        <f t="shared" si="17"/>
        <v>0.11430361115810284</v>
      </c>
      <c r="AS68" s="400">
        <f t="shared" si="18"/>
        <v>0.11430361115810284</v>
      </c>
      <c r="AT68" s="1100"/>
      <c r="AU68" s="1104"/>
      <c r="AV68" s="138">
        <f>IF(ISNA(VLOOKUP(I68,'Efficiency Lookup'!$D$2:$G$35,4,FALSE)),0,VLOOKUP(I68,'Efficiency Lookup'!$D$2:$G$35,4,FALSE))</f>
        <v>0</v>
      </c>
      <c r="AW68" s="133">
        <f t="shared" si="19"/>
        <v>0</v>
      </c>
      <c r="AX68" s="135">
        <f t="shared" si="20"/>
        <v>0.13628387206513154</v>
      </c>
      <c r="AY68" s="144">
        <f t="shared" si="21"/>
        <v>18.517455193110237</v>
      </c>
      <c r="AZ68" s="400">
        <f t="shared" si="22"/>
        <v>18.517455193110237</v>
      </c>
      <c r="BA68" s="1100"/>
      <c r="BB68" s="1100"/>
      <c r="BC68" s="1101"/>
      <c r="BD68" s="1102"/>
      <c r="BE68" s="1103"/>
      <c r="BF68" s="14"/>
      <c r="BG68" s="812"/>
      <c r="BH68" s="812"/>
      <c r="BI68" s="812"/>
      <c r="BJ68" s="812"/>
      <c r="BK68" s="812"/>
    </row>
    <row r="69" spans="1:63" ht="18.600000000000001" customHeight="1" x14ac:dyDescent="0.25">
      <c r="A69" s="10" t="s">
        <v>291</v>
      </c>
      <c r="B69" s="11">
        <v>-78.452663000000001</v>
      </c>
      <c r="C69" s="11">
        <v>38.032676000000002</v>
      </c>
      <c r="D69" s="16">
        <v>432.1</v>
      </c>
      <c r="E69" s="1048" t="s">
        <v>289</v>
      </c>
      <c r="F69" s="1048" t="s">
        <v>354</v>
      </c>
      <c r="G69" s="1021" t="s">
        <v>291</v>
      </c>
      <c r="H69" s="1021"/>
      <c r="I69" s="1021"/>
      <c r="J69" s="16"/>
      <c r="K69" s="9">
        <v>0.20080100000000001</v>
      </c>
      <c r="L69" s="9"/>
      <c r="M69" s="9">
        <v>0</v>
      </c>
      <c r="N69" s="9">
        <v>0.16081899999999999</v>
      </c>
      <c r="O69" s="7">
        <f t="shared" si="23"/>
        <v>0</v>
      </c>
      <c r="P69" s="7">
        <f t="shared" si="4"/>
        <v>0.80088744577965243</v>
      </c>
      <c r="Q69" s="8"/>
      <c r="R69" s="8"/>
      <c r="S69" s="8"/>
      <c r="T69" s="8">
        <f t="shared" si="24"/>
        <v>0.35300334154800006</v>
      </c>
      <c r="U69" s="8">
        <f t="shared" si="5"/>
        <v>1.8356173760496004</v>
      </c>
      <c r="V69" s="8">
        <f t="shared" si="6"/>
        <v>148.57910645755322</v>
      </c>
      <c r="W69" s="8"/>
      <c r="X69" s="36" t="s">
        <v>278</v>
      </c>
      <c r="Y69" s="257">
        <v>35.4</v>
      </c>
      <c r="Z69" s="257">
        <f t="shared" si="7"/>
        <v>0.16081899999999999</v>
      </c>
      <c r="AA69" s="258">
        <f t="shared" si="8"/>
        <v>6.0640012160891932E-2</v>
      </c>
      <c r="AB69" s="742" t="s">
        <v>295</v>
      </c>
      <c r="AC69" s="288">
        <f t="shared" si="1"/>
        <v>0.5</v>
      </c>
      <c r="AD69" s="742">
        <f t="shared" si="9"/>
        <v>0.17650167077400003</v>
      </c>
      <c r="AE69" s="336">
        <v>0.65</v>
      </c>
      <c r="AF69" s="805">
        <f t="shared" si="10"/>
        <v>0.22945217200620005</v>
      </c>
      <c r="AG69" s="336">
        <f>IF(ISNA(VLOOKUP(I69,'Efficiency Lookup'!$D$2:$E$35,2,FALSE)),0,VLOOKUP(I69,'Efficiency Lookup'!$D$2:$E$35,2,FALSE))</f>
        <v>0</v>
      </c>
      <c r="AH69" s="805">
        <f t="shared" si="11"/>
        <v>0</v>
      </c>
      <c r="AI69" s="806">
        <f t="shared" si="12"/>
        <v>6.9435671987983907E-2</v>
      </c>
      <c r="AJ69" s="805">
        <f t="shared" si="13"/>
        <v>2.4511024234389184E-2</v>
      </c>
      <c r="AK69" s="516">
        <f t="shared" si="14"/>
        <v>0.22945217200620005</v>
      </c>
      <c r="AL69" s="1121"/>
      <c r="AM69" s="1100"/>
      <c r="AN69" s="1112"/>
      <c r="AO69" s="138">
        <f>IF(ISNA(VLOOKUP(I69,'Efficiency Lookup'!$D$2:$G$35,3,FALSE)),0,VLOOKUP(I69,'Efficiency Lookup'!$D$2:$G$35,3,FALSE))</f>
        <v>0</v>
      </c>
      <c r="AP69" s="133">
        <f t="shared" si="15"/>
        <v>0</v>
      </c>
      <c r="AQ69" s="135">
        <f t="shared" si="16"/>
        <v>4.4167229138300505E-2</v>
      </c>
      <c r="AR69" s="34">
        <f t="shared" si="17"/>
        <v>8.1074133258228626E-2</v>
      </c>
      <c r="AS69" s="400">
        <f t="shared" si="18"/>
        <v>8.1074133258228626E-2</v>
      </c>
      <c r="AT69" s="1100"/>
      <c r="AU69" s="1104"/>
      <c r="AV69" s="138">
        <f>IF(ISNA(VLOOKUP(I69,'Efficiency Lookup'!$D$2:$G$35,4,FALSE)),0,VLOOKUP(I69,'Efficiency Lookup'!$D$2:$G$35,4,FALSE))</f>
        <v>0</v>
      </c>
      <c r="AW69" s="133">
        <f t="shared" si="19"/>
        <v>0</v>
      </c>
      <c r="AX69" s="135">
        <f t="shared" si="20"/>
        <v>8.843406960906923E-2</v>
      </c>
      <c r="AY69" s="144">
        <f t="shared" si="21"/>
        <v>13.13945504292057</v>
      </c>
      <c r="AZ69" s="400">
        <f t="shared" si="22"/>
        <v>13.13945504292057</v>
      </c>
      <c r="BA69" s="1100"/>
      <c r="BB69" s="1100"/>
      <c r="BC69" s="1101"/>
      <c r="BD69" s="1102"/>
      <c r="BE69" s="1103"/>
      <c r="BF69" s="14"/>
      <c r="BG69" s="812"/>
      <c r="BH69" s="812"/>
      <c r="BI69" s="812"/>
      <c r="BJ69" s="812"/>
      <c r="BK69" s="812"/>
    </row>
    <row r="70" spans="1:63" ht="18.600000000000001" customHeight="1" x14ac:dyDescent="0.25">
      <c r="A70" s="10" t="s">
        <v>352</v>
      </c>
      <c r="B70" s="11">
        <v>-78.452168999999998</v>
      </c>
      <c r="C70" s="11">
        <v>38.033200999999998</v>
      </c>
      <c r="D70" s="16">
        <v>432.11</v>
      </c>
      <c r="E70" s="1048" t="s">
        <v>289</v>
      </c>
      <c r="F70" s="1048"/>
      <c r="G70" s="1021" t="s">
        <v>352</v>
      </c>
      <c r="H70" s="1021"/>
      <c r="I70" s="1021"/>
      <c r="J70" s="1015"/>
      <c r="K70" s="9">
        <v>0.395206</v>
      </c>
      <c r="L70" s="9"/>
      <c r="M70" s="9">
        <v>0.20103799999999999</v>
      </c>
      <c r="N70" s="9">
        <v>0.29388799999999998</v>
      </c>
      <c r="O70" s="7">
        <f t="shared" si="23"/>
        <v>0.50869166966088575</v>
      </c>
      <c r="P70" s="7">
        <f t="shared" si="4"/>
        <v>0.74363243473024188</v>
      </c>
      <c r="Q70" s="8"/>
      <c r="R70" s="8"/>
      <c r="S70" s="8"/>
      <c r="T70" s="8">
        <f t="shared" si="24"/>
        <v>0.64831632684000018</v>
      </c>
      <c r="U70" s="8">
        <f t="shared" si="5"/>
        <v>3.3712448995680009</v>
      </c>
      <c r="V70" s="8">
        <f t="shared" si="6"/>
        <v>272.87634196695603</v>
      </c>
      <c r="W70" s="8"/>
      <c r="X70" s="36" t="s">
        <v>278</v>
      </c>
      <c r="Y70" s="257">
        <v>120.3</v>
      </c>
      <c r="Z70" s="257">
        <f t="shared" si="7"/>
        <v>0.29388799999999998</v>
      </c>
      <c r="AA70" s="258">
        <f t="shared" si="8"/>
        <v>0.11276573343507935</v>
      </c>
      <c r="AB70" s="742" t="s">
        <v>295</v>
      </c>
      <c r="AC70" s="288">
        <f t="shared" si="1"/>
        <v>0.45</v>
      </c>
      <c r="AD70" s="742">
        <f t="shared" si="9"/>
        <v>0.29174234707800006</v>
      </c>
      <c r="AE70" s="336">
        <v>0.65</v>
      </c>
      <c r="AF70" s="805">
        <f t="shared" si="10"/>
        <v>0.42140561244600011</v>
      </c>
      <c r="AG70" s="336">
        <f>IF(ISNA(VLOOKUP(I70,'Efficiency Lookup'!$D$2:$E$35,2,FALSE)),0,VLOOKUP(I70,'Efficiency Lookup'!$D$2:$E$35,2,FALSE))</f>
        <v>0</v>
      </c>
      <c r="AH70" s="805">
        <f t="shared" si="11"/>
        <v>0</v>
      </c>
      <c r="AI70" s="806">
        <f t="shared" si="12"/>
        <v>0.12824112123571174</v>
      </c>
      <c r="AJ70" s="805">
        <f t="shared" si="13"/>
        <v>8.3140812669379782E-2</v>
      </c>
      <c r="AK70" s="516">
        <f t="shared" si="14"/>
        <v>0.42140561244600011</v>
      </c>
      <c r="AL70" s="1121"/>
      <c r="AM70" s="1100"/>
      <c r="AN70" s="1112"/>
      <c r="AO70" s="138">
        <f>IF(ISNA(VLOOKUP(I70,'Efficiency Lookup'!$D$2:$G$35,3,FALSE)),0,VLOOKUP(I70,'Efficiency Lookup'!$D$2:$G$35,3,FALSE))</f>
        <v>0</v>
      </c>
      <c r="AP70" s="133">
        <f t="shared" si="15"/>
        <v>0</v>
      </c>
      <c r="AQ70" s="135">
        <f t="shared" si="16"/>
        <v>8.1588391275107391E-2</v>
      </c>
      <c r="AR70" s="34">
        <f t="shared" si="17"/>
        <v>0.2750544479501642</v>
      </c>
      <c r="AS70" s="400">
        <f t="shared" si="18"/>
        <v>0.2750544479501642</v>
      </c>
      <c r="AT70" s="1100"/>
      <c r="AU70" s="1104"/>
      <c r="AV70" s="138">
        <f>IF(ISNA(VLOOKUP(I70,'Efficiency Lookup'!$D$2:$G$35,4,FALSE)),0,VLOOKUP(I70,'Efficiency Lookup'!$D$2:$G$35,4,FALSE))</f>
        <v>0</v>
      </c>
      <c r="AW70" s="133">
        <f t="shared" si="19"/>
        <v>0</v>
      </c>
      <c r="AX70" s="135">
        <f t="shared" si="20"/>
        <v>0.16327538371494379</v>
      </c>
      <c r="AY70" s="144">
        <f t="shared" si="21"/>
        <v>44.553989441384964</v>
      </c>
      <c r="AZ70" s="400">
        <f t="shared" si="22"/>
        <v>44.553989441384964</v>
      </c>
      <c r="BA70" s="1100"/>
      <c r="BB70" s="1100"/>
      <c r="BC70" s="1101"/>
      <c r="BD70" s="1102"/>
      <c r="BE70" s="1103"/>
      <c r="BF70" s="14"/>
      <c r="BG70" s="812"/>
      <c r="BH70" s="812"/>
      <c r="BI70" s="812"/>
      <c r="BJ70" s="812"/>
      <c r="BK70" s="812"/>
    </row>
    <row r="71" spans="1:63" ht="18.600000000000001" customHeight="1" x14ac:dyDescent="0.25">
      <c r="A71" s="10" t="s">
        <v>355</v>
      </c>
      <c r="B71" s="11">
        <v>-78.452718000000004</v>
      </c>
      <c r="C71" s="11">
        <v>38.032809</v>
      </c>
      <c r="D71" s="16">
        <v>432.03</v>
      </c>
      <c r="E71" s="1048"/>
      <c r="F71" s="1048"/>
      <c r="G71" s="1021"/>
      <c r="H71" s="1021"/>
      <c r="I71" s="1021"/>
      <c r="J71" s="1015"/>
      <c r="K71" s="9">
        <v>1.9382600000000001</v>
      </c>
      <c r="L71" s="9"/>
      <c r="M71" s="9">
        <v>0.46850700000000001</v>
      </c>
      <c r="N71" s="9">
        <v>1.265091</v>
      </c>
      <c r="O71" s="7">
        <f t="shared" si="23"/>
        <v>0.24171524976009409</v>
      </c>
      <c r="P71" s="7">
        <f t="shared" si="4"/>
        <v>0.65269416899693533</v>
      </c>
      <c r="Q71" s="8"/>
      <c r="R71" s="8"/>
      <c r="S71" s="8"/>
      <c r="T71" s="8">
        <f t="shared" si="24"/>
        <v>2.8178179283280005</v>
      </c>
      <c r="U71" s="8">
        <f t="shared" si="5"/>
        <v>14.652653227305603</v>
      </c>
      <c r="V71" s="8">
        <f t="shared" si="6"/>
        <v>1186.0195660332554</v>
      </c>
      <c r="W71" s="8"/>
      <c r="X71" s="36" t="s">
        <v>295</v>
      </c>
      <c r="Y71" s="257" t="s">
        <v>295</v>
      </c>
      <c r="Z71" s="257" t="s">
        <v>295</v>
      </c>
      <c r="AA71" s="258">
        <f t="shared" si="8"/>
        <v>0</v>
      </c>
      <c r="AB71" s="742" t="s">
        <v>295</v>
      </c>
      <c r="AC71" s="288" t="str">
        <f t="shared" si="1"/>
        <v>NA</v>
      </c>
      <c r="AD71" s="742">
        <f t="shared" si="9"/>
        <v>0</v>
      </c>
      <c r="AE71" s="336">
        <v>0.65</v>
      </c>
      <c r="AF71" s="805">
        <f t="shared" si="10"/>
        <v>1.8315816534132003</v>
      </c>
      <c r="AG71" s="336">
        <f>IF(ISNA(VLOOKUP(I71,'Efficiency Lookup'!$D$2:$E$35,2,FALSE)),0,VLOOKUP(I71,'Efficiency Lookup'!$D$2:$E$35,2,FALSE))</f>
        <v>0</v>
      </c>
      <c r="AH71" s="805">
        <f t="shared" si="11"/>
        <v>0</v>
      </c>
      <c r="AI71" s="806">
        <f t="shared" si="12"/>
        <v>0</v>
      </c>
      <c r="AJ71" s="805">
        <f t="shared" si="13"/>
        <v>0</v>
      </c>
      <c r="AK71" s="516">
        <v>0</v>
      </c>
      <c r="AL71" s="1121"/>
      <c r="AM71" s="1100"/>
      <c r="AN71" s="1112"/>
      <c r="AO71" s="138">
        <f>IF(ISNA(VLOOKUP(I71,'Efficiency Lookup'!$D$2:$G$35,3,FALSE)),0,VLOOKUP(I71,'Efficiency Lookup'!$D$2:$G$35,3,FALSE))</f>
        <v>0</v>
      </c>
      <c r="AP71" s="133">
        <f t="shared" si="15"/>
        <v>0</v>
      </c>
      <c r="AQ71" s="135">
        <f t="shared" si="16"/>
        <v>0</v>
      </c>
      <c r="AR71" s="34">
        <f t="shared" si="17"/>
        <v>0</v>
      </c>
      <c r="AS71" s="400">
        <f t="shared" si="18"/>
        <v>0</v>
      </c>
      <c r="AT71" s="1100"/>
      <c r="AU71" s="1104"/>
      <c r="AV71" s="138">
        <f>IF(ISNA(VLOOKUP(I71,'Efficiency Lookup'!$D$2:$G$35,4,FALSE)),0,VLOOKUP(I71,'Efficiency Lookup'!$D$2:$G$35,4,FALSE))</f>
        <v>0</v>
      </c>
      <c r="AW71" s="133">
        <f t="shared" si="19"/>
        <v>0</v>
      </c>
      <c r="AX71" s="135">
        <f t="shared" si="20"/>
        <v>0</v>
      </c>
      <c r="AY71" s="144">
        <f t="shared" si="21"/>
        <v>0</v>
      </c>
      <c r="AZ71" s="400">
        <f t="shared" si="22"/>
        <v>0</v>
      </c>
      <c r="BA71" s="1100"/>
      <c r="BB71" s="1100"/>
      <c r="BC71" s="1101"/>
      <c r="BD71" s="1102"/>
      <c r="BE71" s="1103"/>
      <c r="BF71" s="14"/>
      <c r="BG71" s="812"/>
      <c r="BH71" s="812"/>
      <c r="BI71" s="812"/>
      <c r="BJ71" s="812"/>
      <c r="BK71" s="812"/>
    </row>
    <row r="72" spans="1:63" s="268" customFormat="1" ht="18.600000000000001" customHeight="1" x14ac:dyDescent="0.25">
      <c r="B72" s="271"/>
      <c r="C72" s="271"/>
      <c r="G72" s="277"/>
      <c r="H72" s="263"/>
      <c r="I72" s="263"/>
      <c r="Q72" s="264"/>
      <c r="S72" s="264"/>
      <c r="T72" s="264"/>
      <c r="U72" s="264"/>
      <c r="V72" s="264"/>
      <c r="W72" s="264"/>
      <c r="X72" s="264"/>
      <c r="Y72" s="265"/>
      <c r="Z72" s="265"/>
      <c r="AA72" s="264"/>
      <c r="AB72" s="743" t="s">
        <v>297</v>
      </c>
      <c r="AC72" s="751" t="str">
        <f t="shared" si="1"/>
        <v/>
      </c>
      <c r="AD72" s="303" t="str">
        <f t="shared" si="3"/>
        <v/>
      </c>
      <c r="AE72" s="266"/>
      <c r="AF72" s="266"/>
      <c r="AG72" s="264"/>
      <c r="AH72" s="274"/>
      <c r="AI72" s="264"/>
      <c r="AJ72" s="274"/>
      <c r="AK72" s="328" t="str">
        <f t="shared" si="2"/>
        <v/>
      </c>
      <c r="AO72" s="329"/>
      <c r="AP72" s="303"/>
      <c r="AQ72" s="303"/>
      <c r="AR72" s="303"/>
      <c r="AS72" s="326"/>
      <c r="AV72" s="329"/>
      <c r="AW72" s="303"/>
      <c r="AX72" s="303"/>
      <c r="AY72" s="285"/>
      <c r="AZ72" s="326"/>
      <c r="BB72" s="331"/>
      <c r="BE72" s="331"/>
    </row>
    <row r="73" spans="1:63" ht="18.600000000000001" customHeight="1" x14ac:dyDescent="0.25">
      <c r="A73" s="11" t="s">
        <v>356</v>
      </c>
      <c r="B73" s="11"/>
      <c r="C73" s="11"/>
      <c r="D73" s="1111" t="s">
        <v>271</v>
      </c>
      <c r="E73" s="1065"/>
      <c r="F73" s="1019"/>
      <c r="G73" s="1019"/>
      <c r="H73" s="1021"/>
      <c r="I73" s="1021"/>
      <c r="J73" s="1019"/>
      <c r="K73" s="11">
        <v>16.11</v>
      </c>
      <c r="L73" s="11"/>
      <c r="M73" s="11">
        <v>0</v>
      </c>
      <c r="N73" s="9">
        <v>7.4</v>
      </c>
      <c r="O73" s="7">
        <f>+M73/K73</f>
        <v>0</v>
      </c>
      <c r="P73" s="7">
        <f>+N73/K73</f>
        <v>0.45934202358783366</v>
      </c>
      <c r="Q73" s="8">
        <f>43*0.9*(0.05+0.9*0.16)*0.26*$K73*2.72/12</f>
        <v>7.1280254448000013</v>
      </c>
      <c r="R73" s="39">
        <f>43*0.9*(0.05+0.9*O73)*0.26*$K73*2.72/12</f>
        <v>1.8371199600000006</v>
      </c>
      <c r="S73" s="8">
        <f>IF(J73="R",R73,Q73)</f>
        <v>7.1280254448000013</v>
      </c>
      <c r="T73" s="8">
        <f>43*0.9*(0.05+0.9*P73)*0.26*$K73*2.72/12</f>
        <v>17.026715159999998</v>
      </c>
      <c r="U73" s="8">
        <f>T73*5.2</f>
        <v>88.538918831999993</v>
      </c>
      <c r="V73" s="8">
        <f>T73*420.9</f>
        <v>7166.5444108439988</v>
      </c>
      <c r="W73" s="8">
        <f>IF(P73 &lt; 16%, 0, IF(K73 &lt; 1, 0, T73-S73))</f>
        <v>9.8986897151999962</v>
      </c>
      <c r="X73" s="8"/>
      <c r="Y73" s="257"/>
      <c r="Z73" s="257"/>
      <c r="AA73" s="8"/>
      <c r="AB73" s="744" t="s">
        <v>297</v>
      </c>
      <c r="AC73" s="750" t="str">
        <f t="shared" si="1"/>
        <v/>
      </c>
      <c r="AD73" s="39" t="str">
        <f t="shared" si="3"/>
        <v/>
      </c>
      <c r="AE73" s="34"/>
      <c r="AF73" s="34"/>
      <c r="AG73" s="8"/>
      <c r="AH73" s="133"/>
      <c r="AI73" s="8"/>
      <c r="AJ73" s="133"/>
      <c r="AK73" s="327" t="str">
        <f t="shared" si="2"/>
        <v/>
      </c>
      <c r="AO73" s="589"/>
      <c r="AP73" s="39"/>
      <c r="AQ73" s="39"/>
      <c r="AR73" s="39"/>
      <c r="AS73" s="306"/>
      <c r="AU73" s="28"/>
      <c r="AV73" s="589"/>
      <c r="AW73" s="39"/>
      <c r="AX73" s="39"/>
      <c r="AY73" s="136"/>
      <c r="AZ73" s="146"/>
      <c r="BA73" s="8"/>
      <c r="BB73" s="143"/>
      <c r="BE73" s="143"/>
      <c r="BF73" s="14" t="s">
        <v>322</v>
      </c>
      <c r="BG73" t="s">
        <v>300</v>
      </c>
    </row>
    <row r="74" spans="1:63" ht="18.600000000000001" customHeight="1" x14ac:dyDescent="0.25">
      <c r="A74" s="5"/>
      <c r="B74" s="11">
        <v>-78.457993000000002</v>
      </c>
      <c r="C74" s="11">
        <v>38.058419999999998</v>
      </c>
      <c r="D74" s="13">
        <v>458.02</v>
      </c>
      <c r="E74" s="1048" t="s">
        <v>293</v>
      </c>
      <c r="F74" s="1021" t="s">
        <v>357</v>
      </c>
      <c r="G74" s="1021"/>
      <c r="H74" s="1021" t="s">
        <v>358</v>
      </c>
      <c r="I74" s="1021" t="s">
        <v>359</v>
      </c>
      <c r="J74" s="1048"/>
      <c r="K74" s="11">
        <v>17.559999999999999</v>
      </c>
      <c r="L74" s="11"/>
      <c r="M74" s="11">
        <v>0</v>
      </c>
      <c r="N74" s="11">
        <v>7.4</v>
      </c>
      <c r="O74" s="7">
        <f>+M74/K74</f>
        <v>0</v>
      </c>
      <c r="P74" s="7">
        <f>+N74/K74</f>
        <v>0.42141230068337138</v>
      </c>
      <c r="Q74" s="8"/>
      <c r="R74" s="8"/>
      <c r="S74" s="8"/>
      <c r="T74" s="8">
        <f>IF(J73="TT",IF(F73="u/g detention",(43*0.9*(0.05+0.9*P74)*0.26*$K74*2.72/12)-AK72,(43*0.9*(0.05+0.9*P74)*0.26*$K74*2.72/12)-AK73),43*0.9*(0.05+0.9*P74)*0.26*$K74*2.72/12)</f>
        <v>17.192067360000006</v>
      </c>
      <c r="U74" s="8">
        <f>T74*5.2</f>
        <v>89.398750272000044</v>
      </c>
      <c r="V74" s="8">
        <f>T74*420.9</f>
        <v>7236.141151824002</v>
      </c>
      <c r="W74" s="8"/>
      <c r="X74" s="34" t="s">
        <v>285</v>
      </c>
      <c r="Y74" s="257">
        <v>14555.7</v>
      </c>
      <c r="Z74" s="257">
        <v>7.4</v>
      </c>
      <c r="AA74" s="258">
        <f>IF(Y74="NA", 0, (Y74/43560)*12/Z74)</f>
        <v>0.5418695555059192</v>
      </c>
      <c r="AB74" s="742" t="s">
        <v>360</v>
      </c>
      <c r="AC74" s="134" t="str">
        <f t="shared" si="1"/>
        <v>NA</v>
      </c>
      <c r="AD74" s="741">
        <f t="shared" si="3"/>
        <v>0</v>
      </c>
      <c r="AE74" s="134">
        <f>IF(ISNA(VLOOKUP(H74,'Efficiency Lookup'!$B$2:$C$38,2,FALSE)),0,(VLOOKUP(H74,'Efficiency Lookup'!$B$2:$C$38,2,FALSE)))</f>
        <v>0.35</v>
      </c>
      <c r="AF74" s="133">
        <f>T74*AE74</f>
        <v>6.0172235760000019</v>
      </c>
      <c r="AG74" s="336">
        <f>IF(ISNA(VLOOKUP(I74,'Efficiency Lookup'!$D$2:$E$35,2,FALSE)),0,VLOOKUP(I74,'Efficiency Lookup'!$D$2:$E$35,2,FALSE))</f>
        <v>0.2</v>
      </c>
      <c r="AH74" s="133">
        <f>T74*AG74</f>
        <v>3.4384134720000015</v>
      </c>
      <c r="AI74" s="140">
        <f>IF(X74="RR",IF((0.0304*(AA74^5)-0.2619*(AA74^4)+0.9161*(AA74^3)-1.6837*(AA74^2)+1.7072*AA74-0.0091)&gt;0.85,0.85,IF((0.0304*(AA74^5)-0.2619*(AA74^4)+0.9161*(AA74^3)-1.6837*(AA74^2)+1.7072*AA74-0.0091)&lt;0,0,(0.0304*(AA74^5)-0.2619*(AA74^4)+0.9161*(AA74^3)-1.6837*(AA74^2)+1.7072*AA74-0.0091))),IF((0.0239*(AA74^5)-0.2058*(AA74^4)+0.7198*(AA74^3)-1.3229*(AA74^2)+1.3414*AA74-0.0072)&gt;0.65,0.65,IF((0.0239*(AA74^5)-0.2058*(AA74^4)+0.7198*(AA74^3)-1.3229*(AA74^2)+1.3414*AA74-0.0072)&lt;0,0,(0.0239*(AA74^5)-0.2058*(AA74^4)+0.7198*(AA74^3)-1.3229*(AA74^2)+1.3414*AA74-0.0072))))</f>
        <v>0.54620422477777164</v>
      </c>
      <c r="AJ74" s="34">
        <f>T74*AI74</f>
        <v>9.3903798246960353</v>
      </c>
      <c r="AK74" s="146">
        <f t="shared" si="2"/>
        <v>9.3903798246960353</v>
      </c>
      <c r="AL74" s="34">
        <f>AK74</f>
        <v>9.3903798246960353</v>
      </c>
      <c r="AM74" s="313">
        <f>AL74-W73</f>
        <v>-0.50830989050396091</v>
      </c>
      <c r="AN74" s="288">
        <f>AM74/AL74</f>
        <v>-5.4130919088825551E-2</v>
      </c>
      <c r="AO74" s="138">
        <f>IF(ISNA(VLOOKUP(I74,'Efficiency Lookup'!$D$2:$G$35,3,FALSE)),0,VLOOKUP(I74,'Efficiency Lookup'!$D$2:$G$35,3,FALSE))</f>
        <v>0.2</v>
      </c>
      <c r="AP74" s="133">
        <f>U74*AO74</f>
        <v>17.879750054400009</v>
      </c>
      <c r="AQ74" s="135">
        <f>IF(X74="RR",IF((0.0308*(AA74^5)-0.2562*(AA74^4)+0.8634*(AA74^3)-1.5285*(AA74^2)+1.501*AA74-0.013)&gt;0.7,0.7,IF((0.0308*(AA74^5)-0.2562*(AA74^4)+0.8634*(AA74^3)-1.5285*(AA74^2)+1.501*AA74-0.013)&lt;0,0,(0.0308*(AA74^5)-0.2562*(AA74^4)+0.8634*(AA74^3)-1.5285*(AA74^2)+1.501*AA74-0.013))),IF((0.0152*(AA74^5)-0.131*(AA74^4)+0.4581*(AA74^3)-0.8418*(AA74^2)+0.8536*AA74-0.0046)&gt;0.65,0.65,IF((0.0152*(AA74^5)-0.131*(AA74^4)+0.4581*(AA74^3)-0.8418*(AA74^2)+0.8536*AA74-0.0046)&lt;0,0,(0.0152*(AA74^5)-0.131*(AA74^4)+0.4581*(AA74^3)-0.8418*(AA74^2)+0.8536*AA74-0.0046))))</f>
        <v>0.46826621850671912</v>
      </c>
      <c r="AR74" s="34">
        <f>U74*AQ74</f>
        <v>41.862414729095988</v>
      </c>
      <c r="AS74" s="400">
        <f>IF(AK74=AF74,MAX(AP74,AR74),IF(AK74=AH74,AP74,AR74))</f>
        <v>41.862414729095988</v>
      </c>
      <c r="AT74" s="313">
        <f>AS74</f>
        <v>41.862414729095988</v>
      </c>
      <c r="AU74" s="313">
        <f>AT74*AN74</f>
        <v>-2.2660509845635541</v>
      </c>
      <c r="AV74" s="138">
        <f>IF(ISNA(VLOOKUP(I74,'Efficiency Lookup'!$D$2:$G$35,4,FALSE)),0,VLOOKUP(I74,'Efficiency Lookup'!$D$2:$G$35,4,FALSE))</f>
        <v>0.6</v>
      </c>
      <c r="AW74" s="133">
        <f>$V74*AV74</f>
        <v>4341.6846910944014</v>
      </c>
      <c r="AX74" s="135">
        <f>IF(X74="RR",IF((0.0326*(AA74^5)-0.2806*(AA74^4)+0.9816*(AA74^3)-1.8039*(AA74^2)+1.8292*AA74-0.0098)&gt;0.85,0.85,IF((0.0326*(AA74^5)-0.2806*(AA74^4)+0.9816*(AA74^3)-1.8039*(AA74^2)+1.8292*AA74-0.0098)&lt;0,0,(0.0326*(AA74^5)-0.2806*(AA74^4)+0.9816*(AA74^3)-1.8039*(AA74^2)+1.8292*AA74-0.0098))),IF((0.0304*(AA74^5)-0.2619*(AA74^4)+0.9161*(AA74^3)-1.6837*(AA74^2)+1.7072*AA74-0.0091)&gt;0.8,0.8,IF((0.0304*(AA74^5)-0.2619*(AA74^4)+0.9161*(AA74^3)-1.6837*(AA74^2)+1.7072*AA74-0.0091)&lt;0,0,(0.0304*(AA74^5)-0.2619*(AA74^4)+0.9161*(AA74^3)-1.6837*(AA74^2)+1.7072*AA74-0.0091))))</f>
        <v>0.58523083074841664</v>
      </c>
      <c r="AY74" s="144">
        <f>$V74*AX74</f>
        <v>4234.8128976947655</v>
      </c>
      <c r="AZ74" s="400">
        <f>IF(AS74=AP74,AW74,AY74)</f>
        <v>4234.8128976947655</v>
      </c>
      <c r="BA74" s="313">
        <f>AZ74</f>
        <v>4234.8128976947655</v>
      </c>
      <c r="BB74" s="401">
        <f>BA74*AN74</f>
        <v>-229.23431432143022</v>
      </c>
      <c r="BC74" s="337">
        <f>AM74</f>
        <v>-0.50830989050396091</v>
      </c>
      <c r="BD74" s="337">
        <f>AU74</f>
        <v>-2.2660509845635541</v>
      </c>
      <c r="BE74" s="338">
        <f>BB74</f>
        <v>-229.23431432143022</v>
      </c>
      <c r="BF74" s="14"/>
      <c r="BG74" t="s">
        <v>287</v>
      </c>
    </row>
    <row r="75" spans="1:63" s="268" customFormat="1" ht="18.600000000000001" customHeight="1" x14ac:dyDescent="0.25">
      <c r="A75" s="269"/>
      <c r="B75" s="278"/>
      <c r="C75" s="278"/>
      <c r="D75" s="278"/>
      <c r="E75" s="262"/>
      <c r="F75" s="262"/>
      <c r="G75" s="262"/>
      <c r="H75" s="263"/>
      <c r="I75" s="263"/>
      <c r="J75" s="262"/>
      <c r="K75" s="271"/>
      <c r="L75" s="271"/>
      <c r="M75" s="271"/>
      <c r="N75" s="271"/>
      <c r="O75" s="273"/>
      <c r="P75" s="273"/>
      <c r="Q75" s="264"/>
      <c r="R75" s="264"/>
      <c r="S75" s="264"/>
      <c r="T75" s="264"/>
      <c r="U75" s="264"/>
      <c r="V75" s="264"/>
      <c r="W75" s="264"/>
      <c r="X75" s="264"/>
      <c r="Y75" s="265"/>
      <c r="Z75" s="265"/>
      <c r="AA75" s="264"/>
      <c r="AB75" s="743" t="s">
        <v>297</v>
      </c>
      <c r="AC75" s="751" t="str">
        <f t="shared" si="1"/>
        <v/>
      </c>
      <c r="AD75" s="303" t="str">
        <f t="shared" si="3"/>
        <v/>
      </c>
      <c r="AE75" s="274"/>
      <c r="AF75" s="266"/>
      <c r="AG75" s="264"/>
      <c r="AH75" s="274"/>
      <c r="AI75" s="264"/>
      <c r="AJ75" s="274"/>
      <c r="AK75" s="328" t="str">
        <f t="shared" si="2"/>
        <v/>
      </c>
      <c r="AO75" s="329"/>
      <c r="AP75" s="303"/>
      <c r="AQ75" s="303"/>
      <c r="AR75" s="303"/>
      <c r="AS75" s="326"/>
      <c r="AU75" s="267"/>
      <c r="AV75" s="329"/>
      <c r="AW75" s="303"/>
      <c r="AX75" s="303"/>
      <c r="AY75" s="285"/>
      <c r="AZ75" s="280"/>
      <c r="BA75" s="264"/>
      <c r="BB75" s="331"/>
      <c r="BE75" s="331"/>
      <c r="BF75" s="277"/>
    </row>
    <row r="76" spans="1:63" ht="18.600000000000001" customHeight="1" x14ac:dyDescent="0.25">
      <c r="A76" s="11" t="s">
        <v>361</v>
      </c>
      <c r="B76" s="11"/>
      <c r="C76" s="11"/>
      <c r="D76" s="1111" t="s">
        <v>271</v>
      </c>
      <c r="E76" s="1065"/>
      <c r="F76" s="1019"/>
      <c r="G76" s="1019"/>
      <c r="H76" s="1021"/>
      <c r="I76" s="1021"/>
      <c r="J76" s="1019"/>
      <c r="K76" s="11">
        <v>4.57</v>
      </c>
      <c r="L76" s="11"/>
      <c r="M76" s="11">
        <v>0</v>
      </c>
      <c r="N76" s="9">
        <v>1.72</v>
      </c>
      <c r="O76" s="7">
        <f>+M76/K76</f>
        <v>0</v>
      </c>
      <c r="P76" s="7">
        <f>+N76/K76</f>
        <v>0.37636761487964987</v>
      </c>
      <c r="Q76" s="8">
        <f>43*0.9*(0.05+0.9*0.16)*0.26*$K76*2.72/12</f>
        <v>2.0220407376000002</v>
      </c>
      <c r="R76" s="39">
        <f>43*0.9*(0.05+0.9*O76)*0.26*$K76*2.72/12</f>
        <v>0.52114452000000011</v>
      </c>
      <c r="S76" s="8">
        <f>IF(J76="R",R76,Q76)</f>
        <v>2.0220407376000002</v>
      </c>
      <c r="T76" s="8">
        <f>43*0.9*(0.05+0.9*P76)*0.26*$K76*2.72/12</f>
        <v>4.0516990800000006</v>
      </c>
      <c r="U76" s="8">
        <f>T76*5.2</f>
        <v>21.068835216000004</v>
      </c>
      <c r="V76" s="8">
        <f>T76*420.9</f>
        <v>1705.3601427720002</v>
      </c>
      <c r="W76" s="8">
        <f>IF(P76 &lt; 16%, 0, IF(K76 &lt; 1, 0, T76-S76))</f>
        <v>2.0296583424000003</v>
      </c>
      <c r="X76" s="8"/>
      <c r="Y76" s="257"/>
      <c r="Z76" s="257"/>
      <c r="AA76" s="258"/>
      <c r="AB76" s="742" t="s">
        <v>297</v>
      </c>
      <c r="AC76" s="750" t="str">
        <f t="shared" si="1"/>
        <v/>
      </c>
      <c r="AD76" s="39" t="str">
        <f t="shared" si="3"/>
        <v/>
      </c>
      <c r="AE76" s="34"/>
      <c r="AF76" s="34"/>
      <c r="AG76" s="8"/>
      <c r="AH76" s="133"/>
      <c r="AI76" s="8"/>
      <c r="AJ76" s="133"/>
      <c r="AK76" s="327" t="str">
        <f t="shared" si="2"/>
        <v/>
      </c>
      <c r="AO76" s="589"/>
      <c r="AP76" s="39"/>
      <c r="AQ76" s="39"/>
      <c r="AR76" s="39"/>
      <c r="AS76" s="306"/>
      <c r="AU76" s="28"/>
      <c r="AV76" s="589"/>
      <c r="AW76" s="39"/>
      <c r="AX76" s="39"/>
      <c r="AY76" s="136"/>
      <c r="AZ76" s="146"/>
      <c r="BA76" s="8"/>
      <c r="BB76" s="143"/>
      <c r="BE76" s="143"/>
      <c r="BF76" s="14"/>
      <c r="BG76" t="s">
        <v>300</v>
      </c>
    </row>
    <row r="77" spans="1:63" ht="18.600000000000001" customHeight="1" x14ac:dyDescent="0.25">
      <c r="A77" s="5"/>
      <c r="B77" s="11">
        <v>-78.457655000000003</v>
      </c>
      <c r="C77" s="11">
        <v>38.068620000000003</v>
      </c>
      <c r="D77" s="13">
        <v>434.01</v>
      </c>
      <c r="E77" s="1048" t="s">
        <v>281</v>
      </c>
      <c r="F77" s="1048" t="s">
        <v>342</v>
      </c>
      <c r="G77" s="1048"/>
      <c r="H77" s="1021" t="s">
        <v>343</v>
      </c>
      <c r="I77" s="1021" t="s">
        <v>315</v>
      </c>
      <c r="J77" s="1048"/>
      <c r="K77" s="11">
        <v>4.07</v>
      </c>
      <c r="L77" s="11"/>
      <c r="M77" s="11">
        <v>0</v>
      </c>
      <c r="N77" s="11">
        <v>1.55</v>
      </c>
      <c r="O77" s="7">
        <f>+M77/K77</f>
        <v>0</v>
      </c>
      <c r="P77" s="7">
        <f>+N77/K77</f>
        <v>0.38083538083538082</v>
      </c>
      <c r="Q77" s="8"/>
      <c r="R77" s="8"/>
      <c r="S77" s="8"/>
      <c r="T77" s="8">
        <f>IF(J76="TT",IF(F76="u/g detention",(43*0.9*(0.05+0.9*P77)*0.26*$K77*2.72/12)-AK75,(43*0.9*(0.05+0.9*P77)*0.26*$K77*2.72/12)-AK76),43*0.9*(0.05+0.9*P77)*0.26*$K77*2.72/12)</f>
        <v>3.6457309200000005</v>
      </c>
      <c r="U77" s="8">
        <f>T77*5.2</f>
        <v>18.957800784000003</v>
      </c>
      <c r="V77" s="8">
        <f>T77*420.9</f>
        <v>1534.4881442280002</v>
      </c>
      <c r="W77" s="8"/>
      <c r="X77" s="34" t="s">
        <v>285</v>
      </c>
      <c r="Y77" s="257">
        <v>3632</v>
      </c>
      <c r="Z77" s="257">
        <v>1.55</v>
      </c>
      <c r="AA77" s="258">
        <f>IF(Y77="NA", 0, (Y77/43560)*12/Z77)</f>
        <v>0.64551675108859852</v>
      </c>
      <c r="AB77" s="742" t="s">
        <v>296</v>
      </c>
      <c r="AC77" s="134" t="str">
        <f t="shared" si="1"/>
        <v>NA</v>
      </c>
      <c r="AD77" s="741">
        <f t="shared" si="3"/>
        <v>0</v>
      </c>
      <c r="AE77" s="134">
        <f>IF(ISNA(VLOOKUP(H77,'Efficiency Lookup'!$B$2:$C$38,2,FALSE)),0,(VLOOKUP(H77,'Efficiency Lookup'!$B$2:$C$38,2,FALSE)))</f>
        <v>0.5</v>
      </c>
      <c r="AF77" s="133">
        <f>T77*AE77</f>
        <v>1.8228654600000003</v>
      </c>
      <c r="AG77" s="288">
        <f>IF(ISNA(VLOOKUP(I77,'Efficiency Lookup'!$D$2:$E$35,2,FALSE)),0,VLOOKUP(I77,'Efficiency Lookup'!$D$2:$E$35,2,FALSE))</f>
        <v>0.75</v>
      </c>
      <c r="AH77" s="313">
        <f>T77*AG77</f>
        <v>2.7342981900000005</v>
      </c>
      <c r="AI77" s="132">
        <f>IF(X77="RR",IF((0.0304*(AA77^5)-0.2619*(AA77^4)+0.9161*(AA77^3)-1.6837*(AA77^2)+1.7072*AA77-0.0091)&gt;0.85,0.85,IF((0.0304*(AA77^5)-0.2619*(AA77^4)+0.9161*(AA77^3)-1.6837*(AA77^2)+1.7072*AA77-0.0091)&lt;0,0,(0.0304*(AA77^5)-0.2619*(AA77^4)+0.9161*(AA77^3)-1.6837*(AA77^2)+1.7072*AA77-0.0091))),IF((0.0239*(AA77^5)-0.2058*(AA77^4)+0.7198*(AA77^3)-1.3229*(AA77^2)+1.3414*AA77-0.0072)&gt;0.65,0.65,IF((0.0239*(AA77^5)-0.2058*(AA77^4)+0.7198*(AA77^3)-1.3229*(AA77^2)+1.3414*AA77-0.0072)&lt;0,0,(0.0239*(AA77^5)-0.2058*(AA77^4)+0.7198*(AA77^3)-1.3229*(AA77^2)+1.3414*AA77-0.0072))))</f>
        <v>0.59568917097883445</v>
      </c>
      <c r="AJ77" s="133">
        <f>T77*AI77</f>
        <v>2.1717224293467039</v>
      </c>
      <c r="AK77" s="516">
        <f t="shared" si="2"/>
        <v>2.7342981900000005</v>
      </c>
      <c r="AL77" s="34">
        <f>AK77</f>
        <v>2.7342981900000005</v>
      </c>
      <c r="AM77" s="313">
        <f>AL77-W76</f>
        <v>0.7046398476000002</v>
      </c>
      <c r="AN77" s="288">
        <f>AM77/AL77</f>
        <v>0.25770409759149204</v>
      </c>
      <c r="AO77" s="496">
        <f>IF(ISNA(VLOOKUP(I77,'Efficiency Lookup'!$D$2:$G$35,3,FALSE)),0,VLOOKUP(I77,'Efficiency Lookup'!$D$2:$G$35,3,FALSE))</f>
        <v>0.7</v>
      </c>
      <c r="AP77" s="313">
        <f>U77*AO77</f>
        <v>13.270460548800001</v>
      </c>
      <c r="AQ77" s="134">
        <f>IF(X77="RR",IF((0.0308*(AA77^5)-0.2562*(AA77^4)+0.8634*(AA77^3)-1.5285*(AA77^2)+1.501*AA77-0.013)&gt;0.7,0.7,IF((0.0308*(AA77^5)-0.2562*(AA77^4)+0.8634*(AA77^3)-1.5285*(AA77^2)+1.501*AA77-0.013)&lt;0,0,(0.0308*(AA77^5)-0.2562*(AA77^4)+0.8634*(AA77^3)-1.5285*(AA77^2)+1.501*AA77-0.013))),IF((0.0152*(AA77^5)-0.131*(AA77^4)+0.4581*(AA77^3)-0.8418*(AA77^2)+0.8536*AA77-0.0046)&gt;0.65,0.65,IF((0.0152*(AA77^5)-0.131*(AA77^4)+0.4581*(AA77^3)-0.8418*(AA77^2)+0.8536*AA77-0.0046)&lt;0,0,(0.0152*(AA77^5)-0.131*(AA77^4)+0.4581*(AA77^3)-0.8418*(AA77^2)+0.8536*AA77-0.0046))))</f>
        <v>0.51021340252722236</v>
      </c>
      <c r="AR77" s="133">
        <f>U77*AQ77</f>
        <v>9.6725240424378853</v>
      </c>
      <c r="AS77" s="400">
        <f>IF(AK77=AF77,MAX(AP77,AR77),IF(AK77=AH77,AP77,AR77))</f>
        <v>13.270460548800001</v>
      </c>
      <c r="AT77" s="313">
        <f>AS77</f>
        <v>13.270460548800001</v>
      </c>
      <c r="AU77" s="313">
        <f>AT77*AN77</f>
        <v>3.4198520603520004</v>
      </c>
      <c r="AV77" s="496">
        <f>IF(ISNA(VLOOKUP(I77,'Efficiency Lookup'!$D$2:$G$35,4,FALSE)),0,VLOOKUP(I77,'Efficiency Lookup'!$D$2:$G$35,4,FALSE))</f>
        <v>0.8</v>
      </c>
      <c r="AW77" s="313">
        <f>$V77*AV77</f>
        <v>1227.5905153824003</v>
      </c>
      <c r="AX77" s="134">
        <f>IF(X77="RR",IF((0.0326*(AA77^5)-0.2806*(AA77^4)+0.9816*(AA77^3)-1.8039*(AA77^2)+1.8292*AA77-0.0098)&gt;0.85,0.85,IF((0.0326*(AA77^5)-0.2806*(AA77^4)+0.9816*(AA77^3)-1.8039*(AA77^2)+1.8292*AA77-0.0098)&lt;0,0,(0.0326*(AA77^5)-0.2806*(AA77^4)+0.9816*(AA77^3)-1.8039*(AA77^2)+1.8292*AA77-0.0098))),IF((0.0304*(AA77^5)-0.2619*(AA77^4)+0.9161*(AA77^3)-1.6837*(AA77^2)+1.7072*AA77-0.0091)&gt;0.8,0.8,IF((0.0304*(AA77^5)-0.2619*(AA77^4)+0.9161*(AA77^3)-1.6837*(AA77^2)+1.7072*AA77-0.0091)&lt;0,0,(0.0304*(AA77^5)-0.2619*(AA77^4)+0.9161*(AA77^3)-1.6837*(AA77^2)+1.7072*AA77-0.0091))))</f>
        <v>0.63827380574197834</v>
      </c>
      <c r="AY77" s="137">
        <f>$V77*AX77</f>
        <v>979.42358768235147</v>
      </c>
      <c r="AZ77" s="400">
        <f>IF(AS77=AP77,AW77,AY77)</f>
        <v>1227.5905153824003</v>
      </c>
      <c r="BA77" s="313">
        <f>AZ77</f>
        <v>1227.5905153824003</v>
      </c>
      <c r="BB77" s="401">
        <f>BA77*AN77</f>
        <v>316.35510597849611</v>
      </c>
      <c r="BC77" s="318">
        <f>AM77</f>
        <v>0.7046398476000002</v>
      </c>
      <c r="BD77" s="318">
        <f>AU77</f>
        <v>3.4198520603520004</v>
      </c>
      <c r="BE77" s="332">
        <f>BB77</f>
        <v>316.35510597849611</v>
      </c>
      <c r="BF77" s="14"/>
      <c r="BG77" t="s">
        <v>287</v>
      </c>
    </row>
    <row r="78" spans="1:63" s="268" customFormat="1" ht="18.600000000000001" customHeight="1" x14ac:dyDescent="0.25">
      <c r="B78" s="271"/>
      <c r="C78" s="271"/>
      <c r="G78" s="277"/>
      <c r="H78" s="263"/>
      <c r="I78" s="263"/>
      <c r="Q78" s="264"/>
      <c r="S78" s="264"/>
      <c r="T78" s="264"/>
      <c r="U78" s="264"/>
      <c r="V78" s="264"/>
      <c r="W78" s="264"/>
      <c r="X78" s="264"/>
      <c r="Y78" s="265"/>
      <c r="Z78" s="265"/>
      <c r="AA78" s="264"/>
      <c r="AB78" s="743" t="s">
        <v>297</v>
      </c>
      <c r="AC78" s="751" t="str">
        <f t="shared" si="1"/>
        <v/>
      </c>
      <c r="AD78" s="303" t="str">
        <f t="shared" si="3"/>
        <v/>
      </c>
      <c r="AE78" s="266"/>
      <c r="AF78" s="266"/>
      <c r="AG78" s="264"/>
      <c r="AH78" s="274"/>
      <c r="AI78" s="264"/>
      <c r="AJ78" s="274"/>
      <c r="AK78" s="328" t="str">
        <f t="shared" si="2"/>
        <v/>
      </c>
      <c r="AO78" s="329"/>
      <c r="AP78" s="303"/>
      <c r="AQ78" s="303"/>
      <c r="AR78" s="303"/>
      <c r="AS78" s="326"/>
      <c r="AU78" s="314"/>
      <c r="AV78" s="329"/>
      <c r="AW78" s="303"/>
      <c r="AX78" s="303"/>
      <c r="AY78" s="285"/>
      <c r="AZ78" s="326"/>
      <c r="BB78" s="331"/>
      <c r="BE78" s="331"/>
    </row>
    <row r="79" spans="1:63" ht="18.600000000000001" customHeight="1" x14ac:dyDescent="0.25">
      <c r="A79" s="11" t="s">
        <v>362</v>
      </c>
      <c r="B79" s="11"/>
      <c r="C79" s="11"/>
      <c r="D79" s="1111" t="s">
        <v>271</v>
      </c>
      <c r="E79" s="1065"/>
      <c r="F79" s="1019"/>
      <c r="G79" s="1019"/>
      <c r="H79" s="1021"/>
      <c r="I79" s="1021"/>
      <c r="J79" s="287"/>
      <c r="K79" s="11">
        <v>12.88</v>
      </c>
      <c r="L79" s="11"/>
      <c r="M79" s="11">
        <v>0</v>
      </c>
      <c r="N79" s="9">
        <v>4.74</v>
      </c>
      <c r="O79" s="7">
        <f>+M79/K79</f>
        <v>0</v>
      </c>
      <c r="P79" s="7">
        <f>+N79/K79</f>
        <v>0.36801242236024845</v>
      </c>
      <c r="Q79" s="8">
        <f>43*0.9*(0.05+0.9*0.16)*0.26*$K79*2.72/12</f>
        <v>5.698880678400001</v>
      </c>
      <c r="R79" s="39">
        <f>43*0.9*(0.05+0.9*O79)*0.26*$K79*2.72/12</f>
        <v>1.4687836800000005</v>
      </c>
      <c r="S79" s="8">
        <f>IF(J79="R",R79,Q79)</f>
        <v>5.698880678400001</v>
      </c>
      <c r="T79" s="8">
        <f>43*0.9*(0.05+0.9*P79)*0.26*$K79*2.72/12</f>
        <v>11.198335200000002</v>
      </c>
      <c r="U79" s="8">
        <f>T79*5.2</f>
        <v>58.231343040000013</v>
      </c>
      <c r="V79" s="8">
        <f>T79*420.9</f>
        <v>4713.379285680001</v>
      </c>
      <c r="W79" s="8">
        <f>IF(P79 &lt; 16%, 0, IF(K79 &lt; 1, 0, T79-S79))</f>
        <v>5.4994545216000015</v>
      </c>
      <c r="X79" s="37"/>
      <c r="Y79" s="1048"/>
      <c r="Z79" s="1048"/>
      <c r="AA79" s="37"/>
      <c r="AB79" s="744" t="s">
        <v>297</v>
      </c>
      <c r="AC79" s="750" t="str">
        <f t="shared" si="1"/>
        <v/>
      </c>
      <c r="AD79" s="594" t="str">
        <f t="shared" si="3"/>
        <v/>
      </c>
      <c r="AE79" s="34"/>
      <c r="AF79" s="34"/>
      <c r="AH79" s="133"/>
      <c r="AJ79" s="133"/>
      <c r="AK79" s="516" t="str">
        <f t="shared" si="2"/>
        <v/>
      </c>
      <c r="AO79" s="599"/>
      <c r="AP79" s="594"/>
      <c r="AQ79" s="594"/>
      <c r="AR79" s="594"/>
      <c r="AS79" s="306"/>
      <c r="AU79" s="38"/>
      <c r="AV79" s="599"/>
      <c r="AW79" s="594"/>
      <c r="AX79" s="594"/>
      <c r="AY79" s="604"/>
      <c r="AZ79" s="146"/>
      <c r="BA79" s="8"/>
      <c r="BB79" s="143"/>
      <c r="BE79" s="143"/>
      <c r="BF79" s="14" t="s">
        <v>322</v>
      </c>
      <c r="BG79" t="s">
        <v>273</v>
      </c>
    </row>
    <row r="80" spans="1:63" ht="18.600000000000001" customHeight="1" x14ac:dyDescent="0.25">
      <c r="A80" s="5"/>
      <c r="B80" s="11">
        <v>-78.432105000000007</v>
      </c>
      <c r="C80" s="11">
        <v>38.127651999999998</v>
      </c>
      <c r="D80" s="13">
        <v>1</v>
      </c>
      <c r="E80" s="1048" t="s">
        <v>293</v>
      </c>
      <c r="F80" s="1021" t="s">
        <v>363</v>
      </c>
      <c r="G80" s="1021"/>
      <c r="H80" s="1021" t="s">
        <v>364</v>
      </c>
      <c r="I80" s="1021" t="s">
        <v>359</v>
      </c>
      <c r="J80" s="1048"/>
      <c r="K80" s="11">
        <v>10.98</v>
      </c>
      <c r="L80" s="11"/>
      <c r="M80" s="11">
        <v>0</v>
      </c>
      <c r="N80" s="11">
        <v>4.9000000000000004</v>
      </c>
      <c r="O80" s="7">
        <f>+M80/K80</f>
        <v>0</v>
      </c>
      <c r="P80" s="7">
        <f>+N80/K80</f>
        <v>0.44626593806921677</v>
      </c>
      <c r="Q80" s="8"/>
      <c r="R80" s="8"/>
      <c r="S80" s="8"/>
      <c r="T80" s="8">
        <f>IF(J79="TT",IF(F79="u/g detention",(43*0.9*(0.05+0.9*P80)*0.26*$K80*2.72/12)-AK78,(43*0.9*(0.05+0.9*P80)*0.26*$K80*2.72/12)-AK79),43*0.9*(0.05+0.9*P80)*0.26*$K80*2.72/12)</f>
        <v>11.310090480000001</v>
      </c>
      <c r="U80" s="8">
        <f>T80*5.2</f>
        <v>58.81247049600001</v>
      </c>
      <c r="V80" s="8">
        <f>T80*420.9</f>
        <v>4760.4170830319999</v>
      </c>
      <c r="W80" s="8"/>
      <c r="X80" s="34" t="s">
        <v>285</v>
      </c>
      <c r="Y80" s="257">
        <v>0</v>
      </c>
      <c r="Z80" s="257">
        <v>4.9000000000000004</v>
      </c>
      <c r="AA80" s="258">
        <f>IF(Y80="NA", 0, (Y80/43560)*12/Z80)</f>
        <v>0</v>
      </c>
      <c r="AB80" s="742" t="s">
        <v>296</v>
      </c>
      <c r="AC80" s="134" t="str">
        <f t="shared" si="1"/>
        <v>NA</v>
      </c>
      <c r="AD80" s="741">
        <f t="shared" si="3"/>
        <v>0</v>
      </c>
      <c r="AE80" s="135">
        <f>IF(ISNA(VLOOKUP(H80,'Efficiency Lookup'!$B$2:$C$38,2,FALSE)),0,(VLOOKUP(H80,'Efficiency Lookup'!$B$2:$C$38,2,FALSE)))</f>
        <v>0.5</v>
      </c>
      <c r="AF80" s="34">
        <f>T80*AE80</f>
        <v>5.6550452400000006</v>
      </c>
      <c r="AG80" s="134">
        <f>IF(ISNA(VLOOKUP(I80,'Efficiency Lookup'!$D$2:$E$35,2,FALSE)),0,VLOOKUP(I80,'Efficiency Lookup'!$D$2:$E$35,2,FALSE))</f>
        <v>0.2</v>
      </c>
      <c r="AH80" s="133">
        <f>T80*AG80</f>
        <v>2.2620180960000003</v>
      </c>
      <c r="AI80" s="132">
        <f>IF(X80="RR",IF((0.0304*(AA80^5)-0.2619*(AA80^4)+0.9161*(AA80^3)-1.6837*(AA80^2)+1.7072*AA80-0.0091)&gt;0.85,0.85,IF((0.0304*(AA80^5)-0.2619*(AA80^4)+0.9161*(AA80^3)-1.6837*(AA80^2)+1.7072*AA80-0.0091)&lt;0,0,(0.0304*(AA80^5)-0.2619*(AA80^4)+0.9161*(AA80^3)-1.6837*(AA80^2)+1.7072*AA80-0.0091))),IF((0.0239*(AA80^5)-0.2058*(AA80^4)+0.7198*(AA80^3)-1.3229*(AA80^2)+1.3414*AA80-0.0072)&gt;0.65,0.65,IF((0.0239*(AA80^5)-0.2058*(AA80^4)+0.7198*(AA80^3)-1.3229*(AA80^2)+1.3414*AA80-0.0072)&lt;0,0,(0.0239*(AA80^5)-0.2058*(AA80^4)+0.7198*(AA80^3)-1.3229*(AA80^2)+1.3414*AA80-0.0072))))</f>
        <v>0</v>
      </c>
      <c r="AJ80" s="133">
        <f>T80*AI80</f>
        <v>0</v>
      </c>
      <c r="AK80" s="146">
        <f t="shared" si="2"/>
        <v>5.6550452400000006</v>
      </c>
      <c r="AL80" s="1100">
        <f>SUM(AK80:AK81)</f>
        <v>7.145837868000001</v>
      </c>
      <c r="AM80" s="1100">
        <f>AL80-W79</f>
        <v>1.6463833463999995</v>
      </c>
      <c r="AN80" s="1112">
        <f>AM80/AL80</f>
        <v>0.23039752325933954</v>
      </c>
      <c r="AO80" s="147">
        <f>IF(ISNA(VLOOKUP(I80,'Efficiency Lookup'!$D$2:$G$35,3,FALSE)),0,VLOOKUP(I80,'Efficiency Lookup'!$D$2:$G$35,3,FALSE))</f>
        <v>0.2</v>
      </c>
      <c r="AP80" s="34">
        <f>U80*AO80</f>
        <v>11.762494099200003</v>
      </c>
      <c r="AQ80" s="134">
        <f>IF(X80="RR",IF((0.0308*(AA80^5)-0.2562*(AA80^4)+0.8634*(AA80^3)-1.5285*(AA80^2)+1.501*AA80-0.013)&gt;0.7,0.7,IF((0.0308*(AA80^5)-0.2562*(AA80^4)+0.8634*(AA80^3)-1.5285*(AA80^2)+1.501*AA80-0.013)&lt;0,0,(0.0308*(AA80^5)-0.2562*(AA80^4)+0.8634*(AA80^3)-1.5285*(AA80^2)+1.501*AA80-0.013))),IF((0.0152*(AA80^5)-0.131*(AA80^4)+0.4581*(AA80^3)-0.8418*(AA80^2)+0.8536*AA80-0.0046)&gt;0.65,0.65,IF((0.0152*(AA80^5)-0.131*(AA80^4)+0.4581*(AA80^3)-0.8418*(AA80^2)+0.8536*AA80-0.0046)&lt;0,0,(0.0152*(AA80^5)-0.131*(AA80^4)+0.4581*(AA80^3)-0.8418*(AA80^2)+0.8536*AA80-0.0046))))</f>
        <v>0</v>
      </c>
      <c r="AR80" s="133">
        <f>U80*AQ80</f>
        <v>0</v>
      </c>
      <c r="AS80" s="400">
        <f>IF(AK80=AF80,MAX(AP80,AR80),IF(AK80=AH80,AP80,AR80))</f>
        <v>11.762494099200003</v>
      </c>
      <c r="AT80" s="1100">
        <f>SUM(AS80:AS81)</f>
        <v>18.146594294400007</v>
      </c>
      <c r="AU80" s="1120">
        <f>AT80*AN80</f>
        <v>4.1809303810218239</v>
      </c>
      <c r="AV80" s="147">
        <f>IF(ISNA(VLOOKUP(I80,'Efficiency Lookup'!$D$2:$G$35,4,FALSE)),0,VLOOKUP(I80,'Efficiency Lookup'!$D$2:$G$35,4,FALSE))</f>
        <v>0.6</v>
      </c>
      <c r="AW80" s="34">
        <f>$V80*AV80</f>
        <v>2856.2502498191998</v>
      </c>
      <c r="AX80" s="134">
        <f>IF(X80="RR",IF((0.0326*(AA80^5)-0.2806*(AA80^4)+0.9816*(AA80^3)-1.8039*(AA80^2)+1.8292*AA80-0.0098)&gt;0.85,0.85,IF((0.0326*(AA80^5)-0.2806*(AA80^4)+0.9816*(AA80^3)-1.8039*(AA80^2)+1.8292*AA80-0.0098)&lt;0,0,(0.0326*(AA80^5)-0.2806*(AA80^4)+0.9816*(AA80^3)-1.8039*(AA80^2)+1.8292*AA80-0.0098))),IF((0.0304*(AA80^5)-0.2619*(AA80^4)+0.9161*(AA80^3)-1.6837*(AA80^2)+1.7072*AA80-0.0091)&gt;0.8,0.8,IF((0.0304*(AA80^5)-0.2619*(AA80^4)+0.9161*(AA80^3)-1.6837*(AA80^2)+1.7072*AA80-0.0091)&lt;0,0,(0.0304*(AA80^5)-0.2619*(AA80^4)+0.9161*(AA80^3)-1.6837*(AA80^2)+1.7072*AA80-0.0091))))</f>
        <v>0</v>
      </c>
      <c r="AY80" s="137">
        <f>$V80*AX80</f>
        <v>0</v>
      </c>
      <c r="AZ80" s="400">
        <f>IF(AS80=AP80,AW80,AY80)</f>
        <v>2856.2502498191998</v>
      </c>
      <c r="BA80" s="1100">
        <f>SUM(AZ80:AZ81)</f>
        <v>3446.8145953488001</v>
      </c>
      <c r="BB80" s="1104">
        <f>BA80*AN80</f>
        <v>794.13754590250619</v>
      </c>
      <c r="BC80" s="1105">
        <f>AM80</f>
        <v>1.6463833463999995</v>
      </c>
      <c r="BD80" s="1106">
        <f>AU80</f>
        <v>4.1809303810218239</v>
      </c>
      <c r="BE80" s="1107">
        <f>BB80</f>
        <v>794.13754590250619</v>
      </c>
      <c r="BF80" s="14"/>
      <c r="BG80" t="s">
        <v>365</v>
      </c>
    </row>
    <row r="81" spans="1:61" ht="18.600000000000001" customHeight="1" x14ac:dyDescent="0.25">
      <c r="B81" s="11">
        <v>-78.433265000000006</v>
      </c>
      <c r="C81" s="11">
        <v>38.128660000000004</v>
      </c>
      <c r="D81" s="13">
        <v>1</v>
      </c>
      <c r="E81" s="1048" t="s">
        <v>331</v>
      </c>
      <c r="F81" s="1048" t="s">
        <v>366</v>
      </c>
      <c r="G81" s="1048"/>
      <c r="H81" s="1021" t="s">
        <v>367</v>
      </c>
      <c r="I81" s="1021" t="s">
        <v>334</v>
      </c>
      <c r="J81" s="1048"/>
      <c r="K81" s="11">
        <v>3.86</v>
      </c>
      <c r="L81" s="11"/>
      <c r="M81" s="11">
        <v>0</v>
      </c>
      <c r="N81" s="11">
        <v>0.64</v>
      </c>
      <c r="O81" s="7">
        <f>+M81/K81</f>
        <v>0</v>
      </c>
      <c r="P81" s="7">
        <f>+N81/K81</f>
        <v>0.16580310880829016</v>
      </c>
      <c r="Q81" s="8"/>
      <c r="R81" s="8"/>
      <c r="S81" s="8"/>
      <c r="T81" s="8">
        <f>IF(J80="TT",IF(F80="u/g detention",(43*0.9*(0.05+0.9*P81)*0.26*$K81*2.72/12)-AK79,(43*0.9*(0.05+0.9*P81)*0.26*$K81*2.72/12)-AK80),43*0.9*(0.05+0.9*P81)*0.26*$K81*2.72/12)</f>
        <v>1.7538736800000008</v>
      </c>
      <c r="U81" s="8">
        <f>T81*5.2</f>
        <v>9.1201431360000047</v>
      </c>
      <c r="V81" s="8">
        <f>T81*420.9</f>
        <v>738.20543191200034</v>
      </c>
      <c r="W81" s="8"/>
      <c r="X81" s="34" t="s">
        <v>285</v>
      </c>
      <c r="Y81" s="257">
        <v>11743</v>
      </c>
      <c r="Z81" s="257">
        <v>0.64</v>
      </c>
      <c r="AA81" s="258">
        <f>IF(Y81="NA", 0, (Y81/43560)*12/Z81)</f>
        <v>5.0546659779614327</v>
      </c>
      <c r="AB81" s="742" t="s">
        <v>296</v>
      </c>
      <c r="AC81" s="134" t="str">
        <f t="shared" si="1"/>
        <v>NA</v>
      </c>
      <c r="AD81" s="741">
        <f t="shared" si="3"/>
        <v>0</v>
      </c>
      <c r="AE81" s="134">
        <f>IF(ISNA(VLOOKUP(H81,'Efficiency Lookup'!$B$2:$C$38,2,FALSE)),0,(VLOOKUP(H81,'Efficiency Lookup'!$B$2:$C$38,2,FALSE)))</f>
        <v>0.35</v>
      </c>
      <c r="AF81" s="133">
        <f>T81*AE81</f>
        <v>0.61385578800000018</v>
      </c>
      <c r="AG81" s="134">
        <f>IF(ISNA(VLOOKUP(I81,'Efficiency Lookup'!$D$2:$E$35,2,FALSE)),0,VLOOKUP(I81,'Efficiency Lookup'!$D$2:$E$35,2,FALSE))</f>
        <v>0.75</v>
      </c>
      <c r="AH81" s="133">
        <f>T81*AG81</f>
        <v>1.3154052600000006</v>
      </c>
      <c r="AI81" s="140">
        <f>IF(X81="RR",IF((0.0304*(AA81^5)-0.2619*(AA81^4)+0.9161*(AA81^3)-1.6837*(AA81^2)+1.7072*AA81-0.0091)&gt;0.85,0.85,IF((0.0304*(AA81^5)-0.2619*(AA81^4)+0.9161*(AA81^3)-1.6837*(AA81^2)+1.7072*AA81-0.0091)&lt;0,0,(0.0304*(AA81^5)-0.2619*(AA81^4)+0.9161*(AA81^3)-1.6837*(AA81^2)+1.7072*AA81-0.0091))),IF((0.0239*(AA81^5)-0.2058*(AA81^4)+0.7198*(AA81^3)-1.3229*(AA81^2)+1.3414*AA81-0.0072)&gt;0.65,0.65,IF((0.0239*(AA81^5)-0.2058*(AA81^4)+0.7198*(AA81^3)-1.3229*(AA81^2)+1.3414*AA81-0.0072)&lt;0,0,(0.0239*(AA81^5)-0.2058*(AA81^4)+0.7198*(AA81^3)-1.3229*(AA81^2)+1.3414*AA81-0.0072))))</f>
        <v>0.85</v>
      </c>
      <c r="AJ81" s="34">
        <f>T81*AI81</f>
        <v>1.4907926280000006</v>
      </c>
      <c r="AK81" s="146">
        <f t="shared" si="2"/>
        <v>1.4907926280000006</v>
      </c>
      <c r="AL81" s="1100"/>
      <c r="AM81" s="1100"/>
      <c r="AN81" s="1112"/>
      <c r="AO81" s="138">
        <f>IF(ISNA(VLOOKUP(I81,'Efficiency Lookup'!$D$2:$G$35,3,FALSE)),0,VLOOKUP(I81,'Efficiency Lookup'!$D$2:$G$35,3,FALSE))</f>
        <v>0.7</v>
      </c>
      <c r="AP81" s="133">
        <f>U81*AO81</f>
        <v>6.3841001952000029</v>
      </c>
      <c r="AQ81" s="135">
        <f>IF(X81="RR",IF((0.0308*(AA81^5)-0.2562*(AA81^4)+0.8634*(AA81^3)-1.5285*(AA81^2)+1.501*AA81-0.013)&gt;0.7,0.7,IF((0.0308*(AA81^5)-0.2562*(AA81^4)+0.8634*(AA81^3)-1.5285*(AA81^2)+1.501*AA81-0.013)&lt;0,0,(0.0308*(AA81^5)-0.2562*(AA81^4)+0.8634*(AA81^3)-1.5285*(AA81^2)+1.501*AA81-0.013))),IF((0.0152*(AA81^5)-0.131*(AA81^4)+0.4581*(AA81^3)-0.8418*(AA81^2)+0.8536*AA81-0.0046)&gt;0.65,0.65,IF((0.0152*(AA81^5)-0.131*(AA81^4)+0.4581*(AA81^3)-0.8418*(AA81^2)+0.8536*AA81-0.0046)&lt;0,0,(0.0152*(AA81^5)-0.131*(AA81^4)+0.4581*(AA81^3)-0.8418*(AA81^2)+0.8536*AA81-0.0046))))</f>
        <v>0.7</v>
      </c>
      <c r="AR81" s="34">
        <f>U81*AQ81</f>
        <v>6.3841001952000029</v>
      </c>
      <c r="AS81" s="400">
        <f>IF(AK81=AF81,MAX(AP81,AR81),IF(AK81=AH81,AP81,AR81))</f>
        <v>6.3841001952000029</v>
      </c>
      <c r="AT81" s="1100"/>
      <c r="AU81" s="1120"/>
      <c r="AV81" s="138">
        <f>IF(ISNA(VLOOKUP(I81,'Efficiency Lookup'!$D$2:$G$35,4,FALSE)),0,VLOOKUP(I81,'Efficiency Lookup'!$D$2:$G$35,4,FALSE))</f>
        <v>0.8</v>
      </c>
      <c r="AW81" s="133">
        <f>$V81*AV81</f>
        <v>590.56434552960025</v>
      </c>
      <c r="AX81" s="135">
        <f>IF(X81="RR",IF((0.0326*(AA81^5)-0.2806*(AA81^4)+0.9816*(AA81^3)-1.8039*(AA81^2)+1.8292*AA81-0.0098)&gt;0.85,0.85,IF((0.0326*(AA81^5)-0.2806*(AA81^4)+0.9816*(AA81^3)-1.8039*(AA81^2)+1.8292*AA81-0.0098)&lt;0,0,(0.0326*(AA81^5)-0.2806*(AA81^4)+0.9816*(AA81^3)-1.8039*(AA81^2)+1.8292*AA81-0.0098))),IF((0.0304*(AA81^5)-0.2619*(AA81^4)+0.9161*(AA81^3)-1.6837*(AA81^2)+1.7072*AA81-0.0091)&gt;0.8,0.8,IF((0.0304*(AA81^5)-0.2619*(AA81^4)+0.9161*(AA81^3)-1.6837*(AA81^2)+1.7072*AA81-0.0091)&lt;0,0,(0.0304*(AA81^5)-0.2619*(AA81^4)+0.9161*(AA81^3)-1.6837*(AA81^2)+1.7072*AA81-0.0091))))</f>
        <v>0.85</v>
      </c>
      <c r="AY81" s="144">
        <f>$V81*AX81</f>
        <v>627.47461712520033</v>
      </c>
      <c r="AZ81" s="400">
        <f>IF(AS81=AP81,AW81,AY81)</f>
        <v>590.56434552960025</v>
      </c>
      <c r="BA81" s="1100"/>
      <c r="BB81" s="1104"/>
      <c r="BC81" s="1105"/>
      <c r="BD81" s="1106"/>
      <c r="BE81" s="1107"/>
      <c r="BF81" s="14"/>
      <c r="BG81" t="s">
        <v>287</v>
      </c>
    </row>
    <row r="82" spans="1:61" s="268" customFormat="1" ht="18.600000000000001" customHeight="1" x14ac:dyDescent="0.25">
      <c r="B82" s="271"/>
      <c r="C82" s="271"/>
      <c r="G82" s="277"/>
      <c r="H82" s="263"/>
      <c r="I82" s="263"/>
      <c r="Q82" s="264"/>
      <c r="S82" s="264"/>
      <c r="T82" s="264"/>
      <c r="U82" s="264"/>
      <c r="V82" s="264"/>
      <c r="W82" s="264"/>
      <c r="X82" s="264"/>
      <c r="Y82" s="265"/>
      <c r="Z82" s="265"/>
      <c r="AA82" s="264"/>
      <c r="AB82" s="743" t="s">
        <v>297</v>
      </c>
      <c r="AC82" s="751" t="str">
        <f t="shared" si="1"/>
        <v/>
      </c>
      <c r="AD82" s="303" t="str">
        <f t="shared" si="3"/>
        <v/>
      </c>
      <c r="AE82" s="266"/>
      <c r="AF82" s="266"/>
      <c r="AG82" s="264"/>
      <c r="AH82" s="274"/>
      <c r="AI82" s="264"/>
      <c r="AJ82" s="274"/>
      <c r="AK82" s="328" t="str">
        <f t="shared" si="2"/>
        <v/>
      </c>
      <c r="AO82" s="329"/>
      <c r="AP82" s="303"/>
      <c r="AQ82" s="303"/>
      <c r="AR82" s="303"/>
      <c r="AS82" s="326"/>
      <c r="AU82" s="314"/>
      <c r="AV82" s="329"/>
      <c r="AW82" s="303"/>
      <c r="AX82" s="303"/>
      <c r="AY82" s="285"/>
      <c r="AZ82" s="326"/>
      <c r="BB82" s="331"/>
      <c r="BE82" s="331"/>
    </row>
    <row r="83" spans="1:61" ht="18.600000000000001" customHeight="1" x14ac:dyDescent="0.25">
      <c r="A83" s="11" t="s">
        <v>368</v>
      </c>
      <c r="B83" s="11"/>
      <c r="C83" s="11"/>
      <c r="D83" s="1111" t="s">
        <v>271</v>
      </c>
      <c r="E83" s="1065"/>
      <c r="F83" s="1048"/>
      <c r="G83" s="1048"/>
      <c r="H83" s="1021"/>
      <c r="I83" s="1021"/>
      <c r="J83" s="1048" t="s">
        <v>348</v>
      </c>
      <c r="K83" s="11">
        <v>1.61</v>
      </c>
      <c r="L83" s="11"/>
      <c r="M83" s="10">
        <v>0.93</v>
      </c>
      <c r="N83" s="10">
        <f>0.93+0.37</f>
        <v>1.3</v>
      </c>
      <c r="O83" s="7">
        <f t="shared" ref="O83:O88" si="25">+M83/K83</f>
        <v>0.57763975155279501</v>
      </c>
      <c r="P83" s="7">
        <f t="shared" ref="P83:P88" si="26">+N83/K83</f>
        <v>0.80745341614906829</v>
      </c>
      <c r="Q83" s="39">
        <f>43*0.9*(0.05+0.9*0.16)*0.26*$K83*2.72/12</f>
        <v>0.71236008480000013</v>
      </c>
      <c r="R83" s="17">
        <f>43*0.9*(0.05+0.9*O83)*0.26*$K83*2.72/12</f>
        <v>2.0925606000000005</v>
      </c>
      <c r="S83" s="8">
        <f>IF(J83="R",R83,Q83)</f>
        <v>2.0925606000000005</v>
      </c>
      <c r="T83" s="8">
        <f>43*0.9*(0.05+0.9*P83)*0.26*$K83*2.72/12</f>
        <v>2.8520403600000006</v>
      </c>
      <c r="U83" s="8">
        <f t="shared" ref="U83:U88" si="27">T83*5.2</f>
        <v>14.830609872000004</v>
      </c>
      <c r="V83" s="8">
        <f t="shared" ref="V83:V88" si="28">T83*420.9</f>
        <v>1200.4237875240001</v>
      </c>
      <c r="W83" s="8">
        <f>IF(P83 &lt; 16%, 0, IF(K83 &lt; 1, 0, T83-S83))</f>
        <v>0.75947976000000006</v>
      </c>
      <c r="X83" s="34"/>
      <c r="Y83" s="257"/>
      <c r="Z83" s="257"/>
      <c r="AA83" s="258"/>
      <c r="AB83" s="742" t="s">
        <v>297</v>
      </c>
      <c r="AC83" s="134" t="str">
        <f t="shared" si="1"/>
        <v/>
      </c>
      <c r="AD83" s="741" t="str">
        <f t="shared" si="3"/>
        <v/>
      </c>
      <c r="AE83" s="134"/>
      <c r="AF83" s="133"/>
      <c r="AG83" s="134"/>
      <c r="AH83" s="133"/>
      <c r="AI83" s="140"/>
      <c r="AJ83" s="34"/>
      <c r="AK83" s="146" t="str">
        <f t="shared" si="2"/>
        <v/>
      </c>
      <c r="AL83" s="1005"/>
      <c r="AM83" s="1005"/>
      <c r="AN83" s="1061"/>
      <c r="AO83" s="138"/>
      <c r="AP83" s="133"/>
      <c r="AQ83" s="135"/>
      <c r="AR83" s="34"/>
      <c r="AS83" s="400"/>
      <c r="AT83" s="1005"/>
      <c r="AU83" s="658"/>
      <c r="AV83" s="138"/>
      <c r="AW83" s="133"/>
      <c r="AX83" s="135"/>
      <c r="AY83" s="144"/>
      <c r="AZ83" s="400"/>
      <c r="BA83" s="1005"/>
      <c r="BB83" s="1009"/>
      <c r="BC83" s="1010"/>
      <c r="BD83" s="1010"/>
      <c r="BE83" s="1011"/>
      <c r="BF83" s="14" t="s">
        <v>345</v>
      </c>
      <c r="BG83" t="s">
        <v>273</v>
      </c>
    </row>
    <row r="84" spans="1:61" ht="18.600000000000001" customHeight="1" x14ac:dyDescent="0.25">
      <c r="B84" s="11">
        <v>-78.450796999999994</v>
      </c>
      <c r="C84" s="11">
        <v>38.033441000000003</v>
      </c>
      <c r="D84" s="11">
        <v>328.01</v>
      </c>
      <c r="E84" s="1048" t="s">
        <v>289</v>
      </c>
      <c r="F84" s="798" t="s">
        <v>369</v>
      </c>
      <c r="G84" s="1021" t="s">
        <v>291</v>
      </c>
      <c r="H84" s="1021"/>
      <c r="I84" s="1021"/>
      <c r="J84" s="1048"/>
      <c r="K84" s="9">
        <v>0.17969299999999999</v>
      </c>
      <c r="L84" s="9"/>
      <c r="M84" s="660">
        <f>K84</f>
        <v>0.17969299999999999</v>
      </c>
      <c r="N84" s="660">
        <f>M84</f>
        <v>0.17969299999999999</v>
      </c>
      <c r="O84" s="7">
        <f t="shared" si="25"/>
        <v>1</v>
      </c>
      <c r="P84" s="7">
        <f t="shared" si="26"/>
        <v>1</v>
      </c>
      <c r="Q84" s="8"/>
      <c r="R84" s="8"/>
      <c r="S84" s="8"/>
      <c r="T84" s="8">
        <f>IF(J83="TT",IF(F83="u/g detention",(43*0.9*(0.05+0.9*P84)*0.26*$K84*2.72/12)-AK82,(43*0.9*(0.05+0.9*P84)*0.26*$K84*2.72/12)-AK83),43*0.9*(0.05+0.9*P84)*0.26*$K84*2.72/12)</f>
        <v>0.38933794801200011</v>
      </c>
      <c r="U84" s="8">
        <f t="shared" si="27"/>
        <v>2.0245573296624007</v>
      </c>
      <c r="V84" s="8">
        <f t="shared" si="28"/>
        <v>163.87234231825084</v>
      </c>
      <c r="W84" s="8"/>
      <c r="X84" s="34" t="s">
        <v>278</v>
      </c>
      <c r="Y84" s="257">
        <v>47</v>
      </c>
      <c r="Z84" s="257">
        <f>N84</f>
        <v>0.17969299999999999</v>
      </c>
      <c r="AA84" s="258">
        <f>IF(Y84="NA", 0, (Y84/43560)*12/Z84)</f>
        <v>7.205432822760964E-2</v>
      </c>
      <c r="AB84" s="742" t="s">
        <v>286</v>
      </c>
      <c r="AC84" s="288">
        <f t="shared" si="1"/>
        <v>0.5</v>
      </c>
      <c r="AD84" s="742">
        <f t="shared" si="3"/>
        <v>0.19466897400600006</v>
      </c>
      <c r="AE84" s="134">
        <f>IF(ISNA(VLOOKUP(H84,'Efficiency Lookup'!$B$2:$C$38,2,FALSE)),0,(VLOOKUP(H84,'Efficiency Lookup'!$B$2:$C$38,2,FALSE)))</f>
        <v>0</v>
      </c>
      <c r="AF84" s="133">
        <f>T84*AE84</f>
        <v>0</v>
      </c>
      <c r="AG84" s="134">
        <f>IF(ISNA(VLOOKUP(I84,'Efficiency Lookup'!$D$2:$E$35,2,FALSE)),0,VLOOKUP(I84,'Efficiency Lookup'!$D$2:$E$35,2,FALSE))</f>
        <v>0</v>
      </c>
      <c r="AH84" s="133">
        <f>T84*AG84</f>
        <v>0</v>
      </c>
      <c r="AI84" s="132">
        <f>IF(X84="RR",IF((0.0304*(AA84^5)-0.2619*(AA84^4)+0.9161*(AA84^3)-1.6837*(AA84^2)+1.7072*AA84-0.0091)&gt;0.85,0.85,IF((0.0304*(AA84^5)-0.2619*(AA84^4)+0.9161*(AA84^3)-1.6837*(AA84^2)+1.7072*AA84-0.0091)&lt;0,0,(0.0304*(AA84^5)-0.2619*(AA84^4)+0.9161*(AA84^3)-1.6837*(AA84^2)+1.7072*AA84-0.0091))),IF((0.0239*(AA84^5)-0.2058*(AA84^4)+0.7198*(AA84^3)-1.3229*(AA84^2)+1.3414*AA84-0.0072)&gt;0.65,0.65,IF((0.0239*(AA84^5)-0.2058*(AA84^4)+0.7198*(AA84^3)-1.3229*(AA84^2)+1.3414*AA84-0.0072)&lt;0,0,(0.0239*(AA84^5)-0.2058*(AA84^4)+0.7198*(AA84^3)-1.3229*(AA84^2)+1.3414*AA84-0.0072))))</f>
        <v>8.2849180588459206E-2</v>
      </c>
      <c r="AJ84" s="133">
        <f>T84*AI84</f>
        <v>3.2256329964786341E-2</v>
      </c>
      <c r="AK84" s="146">
        <f t="shared" si="2"/>
        <v>0.19466897400600006</v>
      </c>
      <c r="AL84" s="1100">
        <f>SUM(AK84:AK88)</f>
        <v>3.8949248646321002</v>
      </c>
      <c r="AM84" s="1100">
        <f>AL84-W83</f>
        <v>3.1354451046321001</v>
      </c>
      <c r="AN84" s="1112">
        <f>AM84/AL84</f>
        <v>0.805007853451433</v>
      </c>
      <c r="AO84" s="138">
        <f>IF(ISNA(VLOOKUP(I84,'Efficiency Lookup'!$D$2:$G$35,3,FALSE)),0,VLOOKUP(I84,'Efficiency Lookup'!$D$2:$G$35,3,FALSE))</f>
        <v>0</v>
      </c>
      <c r="AP84" s="133">
        <f>U84*AO84</f>
        <v>0</v>
      </c>
      <c r="AQ84" s="288">
        <f>IF(X84="RR",IF((0.0308*(AA84^5)-0.2562*(AA84^4)+0.8634*(AA84^3)-1.5285*(AA84^2)+1.501*AA84-0.013)&gt;0.7,0.7,IF((0.0308*(AA84^5)-0.2562*(AA84^4)+0.8634*(AA84^3)-1.5285*(AA84^2)+1.501*AA84-0.013)&lt;0,0,(0.0308*(AA84^5)-0.2562*(AA84^4)+0.8634*(AA84^3)-1.5285*(AA84^2)+1.501*AA84-0.013))),IF((0.0152*(AA84^5)-0.131*(AA84^4)+0.4581*(AA84^3)-0.8418*(AA84^2)+0.8536*AA84-0.0046)&gt;0.65,0.65,IF((0.0152*(AA84^5)-0.131*(AA84^4)+0.4581*(AA84^3)-0.8418*(AA84^2)+0.8536*AA84-0.0046)&lt;0,0,(0.0152*(AA84^5)-0.131*(AA84^4)+0.4581*(AA84^3)-0.8418*(AA84^2)+0.8536*AA84-0.0046))))</f>
        <v>5.2702965930655057E-2</v>
      </c>
      <c r="AR84" s="313">
        <f>U84*AQ84</f>
        <v>0.10670017596985548</v>
      </c>
      <c r="AS84" s="400">
        <f>IF(AK84=AF84,MAX(AP84,AR84),IF(AK84=AH84,AP84,AR84))</f>
        <v>0.10670017596985548</v>
      </c>
      <c r="AT84" s="1100">
        <f>SUM(AS84:AS88)</f>
        <v>0.52594267426885033</v>
      </c>
      <c r="AU84" s="1120">
        <f>AT84*AN84</f>
        <v>0.42338798325167343</v>
      </c>
      <c r="AV84" s="138">
        <f>IF(ISNA(VLOOKUP(I84,'Efficiency Lookup'!$D$2:$G$35,4,FALSE)),0,VLOOKUP(I84,'Efficiency Lookup'!$D$2:$G$35,4,FALSE))</f>
        <v>0</v>
      </c>
      <c r="AW84" s="133">
        <f>$V84*AV84</f>
        <v>0</v>
      </c>
      <c r="AX84" s="288">
        <f>IF(X84="RR",IF((0.0326*(AA84^5)-0.2806*(AA84^4)+0.9816*(AA84^3)-1.8039*(AA84^2)+1.8292*AA84-0.0098)&gt;0.85,0.85,IF((0.0326*(AA84^5)-0.2806*(AA84^4)+0.9816*(AA84^3)-1.8039*(AA84^2)+1.8292*AA84-0.0098)&lt;0,0,(0.0326*(AA84^5)-0.2806*(AA84^4)+0.9816*(AA84^3)-1.8039*(AA84^2)+1.8292*AA84-0.0098))),IF((0.0304*(AA84^5)-0.2619*(AA84^4)+0.9161*(AA84^3)-1.6837*(AA84^2)+1.7072*AA84-0.0091)&gt;0.8,0.8,IF((0.0304*(AA84^5)-0.2619*(AA84^4)+0.9161*(AA84^3)-1.6837*(AA84^2)+1.7072*AA84-0.0091)&lt;0,0,(0.0304*(AA84^5)-0.2619*(AA84^4)+0.9161*(AA84^3)-1.6837*(AA84^2)+1.7072*AA84-0.0091))))</f>
        <v>0.1055053779648394</v>
      </c>
      <c r="AY84" s="401">
        <f>$V84*AX84</f>
        <v>17.289413414270602</v>
      </c>
      <c r="AZ84" s="400">
        <f>IF(AS84=AP84,AW84,AY84)</f>
        <v>17.289413414270602</v>
      </c>
      <c r="BA84" s="1100">
        <f>SUM(AZ84:AZ88)</f>
        <v>85.200999595122354</v>
      </c>
      <c r="BB84" s="1104">
        <f>BA84*AN84</f>
        <v>68.587473795985858</v>
      </c>
      <c r="BC84" s="1105">
        <f>AN84</f>
        <v>0.805007853451433</v>
      </c>
      <c r="BD84" s="1106">
        <f>AU84</f>
        <v>0.42338798325167343</v>
      </c>
      <c r="BE84" s="1107">
        <f>BB84</f>
        <v>68.587473795985858</v>
      </c>
      <c r="BG84" t="s">
        <v>365</v>
      </c>
    </row>
    <row r="85" spans="1:61" ht="18.600000000000001" customHeight="1" x14ac:dyDescent="0.25">
      <c r="B85" s="11">
        <v>-78.450918000000001</v>
      </c>
      <c r="C85" s="11">
        <v>38.032927999999998</v>
      </c>
      <c r="D85" s="11">
        <v>328.02</v>
      </c>
      <c r="E85" s="1048" t="s">
        <v>289</v>
      </c>
      <c r="F85" s="798" t="s">
        <v>369</v>
      </c>
      <c r="G85" s="1021" t="s">
        <v>291</v>
      </c>
      <c r="H85" s="1021"/>
      <c r="I85" s="1021"/>
      <c r="J85" s="1048"/>
      <c r="K85" s="9">
        <v>0.37149700000000002</v>
      </c>
      <c r="L85" s="9"/>
      <c r="M85" s="660">
        <v>0.32</v>
      </c>
      <c r="N85" s="659">
        <f>M85</f>
        <v>0.32</v>
      </c>
      <c r="O85" s="7">
        <f t="shared" si="25"/>
        <v>0.86137976888104073</v>
      </c>
      <c r="P85" s="7">
        <f t="shared" si="26"/>
        <v>0.86137976888104073</v>
      </c>
      <c r="Q85" s="8"/>
      <c r="R85" s="8"/>
      <c r="S85" s="8"/>
      <c r="T85" s="8">
        <f>IF(J84="TT",IF(F84="u/g detention",(43*0.9*(0.05+0.9*P85)*0.26*$K85*2.72/12)-AK83,(43*0.9*(0.05+0.9*P85)*0.26*$K85*2.72/12)-AK84),43*0.9*(0.05+0.9*P85)*0.26*$K85*2.72/12)</f>
        <v>0.69921139189200021</v>
      </c>
      <c r="U85" s="8">
        <f t="shared" si="27"/>
        <v>3.6358992378384012</v>
      </c>
      <c r="V85" s="8">
        <f t="shared" si="28"/>
        <v>294.29807484734289</v>
      </c>
      <c r="W85" s="8"/>
      <c r="X85" s="34" t="s">
        <v>278</v>
      </c>
      <c r="Y85" s="257">
        <v>47</v>
      </c>
      <c r="Z85" s="257">
        <f>N85</f>
        <v>0.32</v>
      </c>
      <c r="AA85" s="258">
        <f>IF(Y85="NA", 0, (Y85/43560)*12/Z85)</f>
        <v>4.0461432506887052E-2</v>
      </c>
      <c r="AB85" s="742" t="s">
        <v>286</v>
      </c>
      <c r="AC85" s="288">
        <f t="shared" si="1"/>
        <v>0.5</v>
      </c>
      <c r="AD85" s="742">
        <f t="shared" si="3"/>
        <v>0.34960569594600011</v>
      </c>
      <c r="AE85" s="134">
        <f>IF(ISNA(VLOOKUP(H85,'Efficiency Lookup'!$B$2:$C$38,2,FALSE)),0,(VLOOKUP(H85,'Efficiency Lookup'!$B$2:$C$38,2,FALSE)))</f>
        <v>0</v>
      </c>
      <c r="AF85" s="133">
        <f>T85*AE85</f>
        <v>0</v>
      </c>
      <c r="AG85" s="134">
        <f>IF(ISNA(VLOOKUP(I85,'Efficiency Lookup'!$D$2:$E$35,2,FALSE)),0,VLOOKUP(I85,'Efficiency Lookup'!$D$2:$E$35,2,FALSE))</f>
        <v>0</v>
      </c>
      <c r="AH85" s="133">
        <f>T85*AG85</f>
        <v>0</v>
      </c>
      <c r="AI85" s="132">
        <f>IF(X85="RR",IF((0.0304*(AA85^5)-0.2619*(AA85^4)+0.9161*(AA85^3)-1.6837*(AA85^2)+1.7072*AA85-0.0091)&gt;0.85,0.85,IF((0.0304*(AA85^5)-0.2619*(AA85^4)+0.9161*(AA85^3)-1.6837*(AA85^2)+1.7072*AA85-0.0091)&lt;0,0,(0.0304*(AA85^5)-0.2619*(AA85^4)+0.9161*(AA85^3)-1.6837*(AA85^2)+1.7072*AA85-0.0091))),IF((0.0239*(AA85^5)-0.2058*(AA85^4)+0.7198*(AA85^3)-1.3229*(AA85^2)+1.3414*AA85-0.0072)&gt;0.65,0.65,IF((0.0239*(AA85^5)-0.2058*(AA85^4)+0.7198*(AA85^3)-1.3229*(AA85^2)+1.3414*AA85-0.0072)&lt;0,0,(0.0239*(AA85^5)-0.2058*(AA85^4)+0.7198*(AA85^3)-1.3229*(AA85^2)+1.3414*AA85-0.0072))))</f>
        <v>4.4956340506948959E-2</v>
      </c>
      <c r="AJ85" s="133">
        <f>T85*AI85</f>
        <v>3.1433985420234491E-2</v>
      </c>
      <c r="AK85" s="146">
        <f t="shared" si="2"/>
        <v>0.34960569594600011</v>
      </c>
      <c r="AL85" s="1122"/>
      <c r="AM85" s="1065"/>
      <c r="AN85" s="1123"/>
      <c r="AO85" s="138">
        <f>IF(ISNA(VLOOKUP(I85,'Efficiency Lookup'!$D$2:$G$35,3,FALSE)),0,VLOOKUP(I85,'Efficiency Lookup'!$D$2:$G$35,3,FALSE))</f>
        <v>0</v>
      </c>
      <c r="AP85" s="133">
        <f>U85*AO85</f>
        <v>0</v>
      </c>
      <c r="AQ85" s="288">
        <f>IF(X85="RR",IF((0.0308*(AA85^5)-0.2562*(AA85^4)+0.8634*(AA85^3)-1.5285*(AA85^2)+1.501*AA85-0.013)&gt;0.7,0.7,IF((0.0308*(AA85^5)-0.2562*(AA85^4)+0.8634*(AA85^3)-1.5285*(AA85^2)+1.501*AA85-0.013)&lt;0,0,(0.0308*(AA85^5)-0.2562*(AA85^4)+0.8634*(AA85^3)-1.5285*(AA85^2)+1.501*AA85-0.013))),IF((0.0152*(AA85^5)-0.131*(AA85^4)+0.4581*(AA85^3)-0.8418*(AA85^2)+0.8536*AA85-0.0046)&gt;0.65,0.65,IF((0.0152*(AA85^5)-0.131*(AA85^4)+0.4581*(AA85^3)-0.8418*(AA85^2)+0.8536*AA85-0.0046)&lt;0,0,(0.0152*(AA85^5)-0.131*(AA85^4)+0.4581*(AA85^3)-0.8418*(AA85^2)+0.8536*AA85-0.0046))))</f>
        <v>2.8589740169385904E-2</v>
      </c>
      <c r="AR85" s="313">
        <f>U85*AQ85</f>
        <v>0.10394941449186813</v>
      </c>
      <c r="AS85" s="400">
        <f>IF(AK85=AF85,MAX(AP85,AR85),IF(AK85=AH85,AP85,AR85))</f>
        <v>0.10394941449186813</v>
      </c>
      <c r="AT85" s="1122"/>
      <c r="AU85" s="1123"/>
      <c r="AV85" s="138">
        <f>IF(ISNA(VLOOKUP(I85,'Efficiency Lookup'!$D$2:$G$35,4,FALSE)),0,VLOOKUP(I85,'Efficiency Lookup'!$D$2:$G$35,4,FALSE))</f>
        <v>0</v>
      </c>
      <c r="AW85" s="133">
        <f>$V85*AV85</f>
        <v>0</v>
      </c>
      <c r="AX85" s="288">
        <f>IF(X85="RR",IF((0.0326*(AA85^5)-0.2806*(AA85^4)+0.9816*(AA85^3)-1.8039*(AA85^2)+1.8292*AA85-0.0098)&gt;0.85,0.85,IF((0.0326*(AA85^5)-0.2806*(AA85^4)+0.9816*(AA85^3)-1.8039*(AA85^2)+1.8292*AA85-0.0098)&lt;0,0,(0.0326*(AA85^5)-0.2806*(AA85^4)+0.9816*(AA85^3)-1.8039*(AA85^2)+1.8292*AA85-0.0098))),IF((0.0304*(AA85^5)-0.2619*(AA85^4)+0.9161*(AA85^3)-1.6837*(AA85^2)+1.7072*AA85-0.0091)&gt;0.8,0.8,IF((0.0304*(AA85^5)-0.2619*(AA85^4)+0.9161*(AA85^3)-1.6837*(AA85^2)+1.7072*AA85-0.0091)&lt;0,0,(0.0304*(AA85^5)-0.2619*(AA85^4)+0.9161*(AA85^3)-1.6837*(AA85^2)+1.7072*AA85-0.0091))))</f>
        <v>5.727931026998595E-2</v>
      </c>
      <c r="AY85" s="401">
        <f>$V85*AX85</f>
        <v>16.857190741040501</v>
      </c>
      <c r="AZ85" s="400">
        <f>IF(AS85=AP85,AW85,AY85)</f>
        <v>16.857190741040501</v>
      </c>
      <c r="BA85" s="1122"/>
      <c r="BB85" s="1123"/>
      <c r="BC85" s="1158"/>
      <c r="BD85" s="1124"/>
      <c r="BE85" s="1159"/>
      <c r="BF85" s="14"/>
      <c r="BG85" t="s">
        <v>287</v>
      </c>
    </row>
    <row r="86" spans="1:61" ht="18.600000000000001" customHeight="1" x14ac:dyDescent="0.25">
      <c r="B86" s="11">
        <v>-78.451260000000005</v>
      </c>
      <c r="C86" s="11">
        <v>38.032955999999999</v>
      </c>
      <c r="D86" s="11">
        <v>328.03</v>
      </c>
      <c r="E86" s="1048" t="s">
        <v>289</v>
      </c>
      <c r="F86" s="798" t="s">
        <v>370</v>
      </c>
      <c r="G86" s="1021" t="s">
        <v>291</v>
      </c>
      <c r="H86" s="1021"/>
      <c r="I86" s="1021"/>
      <c r="J86" s="1048"/>
      <c r="K86" s="9">
        <v>0.103135</v>
      </c>
      <c r="L86" s="9"/>
      <c r="M86" s="660">
        <v>0</v>
      </c>
      <c r="N86" s="659">
        <f>K86</f>
        <v>0.103135</v>
      </c>
      <c r="O86" s="7">
        <f t="shared" si="25"/>
        <v>0</v>
      </c>
      <c r="P86" s="7">
        <f t="shared" si="26"/>
        <v>1</v>
      </c>
      <c r="Q86" s="8"/>
      <c r="R86" s="8"/>
      <c r="S86" s="8"/>
      <c r="T86" s="8">
        <f>IF(J85="TT",IF(F85="u/g detention",(43*0.9*(0.05+0.9*P86)*0.26*$K86*2.72/12)-AK84,(43*0.9*(0.05+0.9*P86)*0.26*$K86*2.72/12)-AK85),43*0.9*(0.05+0.9*P86)*0.26*$K86*2.72/12)</f>
        <v>0.2234609543400001</v>
      </c>
      <c r="U86" s="8">
        <f t="shared" si="27"/>
        <v>1.1619969625680007</v>
      </c>
      <c r="V86" s="8">
        <f t="shared" si="28"/>
        <v>94.054715681706043</v>
      </c>
      <c r="W86" s="8"/>
      <c r="X86" s="34" t="s">
        <v>278</v>
      </c>
      <c r="Y86" s="257">
        <v>106.2</v>
      </c>
      <c r="Z86" s="257">
        <f>N86</f>
        <v>0.103135</v>
      </c>
      <c r="AA86" s="258">
        <f>IF(Y86="NA", 0, (Y86/43560)*12/Z86)</f>
        <v>0.28366896152719673</v>
      </c>
      <c r="AB86" s="742" t="s">
        <v>286</v>
      </c>
      <c r="AC86" s="288">
        <f t="shared" si="1"/>
        <v>0.5</v>
      </c>
      <c r="AD86" s="742">
        <f t="shared" si="3"/>
        <v>0.11173047717000005</v>
      </c>
      <c r="AE86" s="134">
        <f>IF(ISNA(VLOOKUP(H86,'Efficiency Lookup'!$B$2:$C$38,2,FALSE)),0,(VLOOKUP(H86,'Efficiency Lookup'!$B$2:$C$38,2,FALSE)))</f>
        <v>0</v>
      </c>
      <c r="AF86" s="133">
        <f>T86*AE86</f>
        <v>0</v>
      </c>
      <c r="AG86" s="134">
        <f>IF(ISNA(VLOOKUP(I86,'Efficiency Lookup'!$D$2:$E$35,2,FALSE)),0,VLOOKUP(I86,'Efficiency Lookup'!$D$2:$E$35,2,FALSE))</f>
        <v>0</v>
      </c>
      <c r="AH86" s="133">
        <f>T86*AG86</f>
        <v>0</v>
      </c>
      <c r="AI86" s="132">
        <f>IF(X86="RR",IF((0.0304*(AA86^5)-0.2619*(AA86^4)+0.9161*(AA86^3)-1.6837*(AA86^2)+1.7072*AA86-0.0091)&gt;0.85,0.85,IF((0.0304*(AA86^5)-0.2619*(AA86^4)+0.9161*(AA86^3)-1.6837*(AA86^2)+1.7072*AA86-0.0091)&lt;0,0,(0.0304*(AA86^5)-0.2619*(AA86^4)+0.9161*(AA86^3)-1.6837*(AA86^2)+1.7072*AA86-0.0091))),IF((0.0239*(AA86^5)-0.2058*(AA86^4)+0.7198*(AA86^3)-1.3229*(AA86^2)+1.3414*AA86-0.0072)&gt;0.65,0.65,IF((0.0239*(AA86^5)-0.2058*(AA86^4)+0.7198*(AA86^3)-1.3229*(AA86^2)+1.3414*AA86-0.0072)&lt;0,0,(0.0239*(AA86^5)-0.2058*(AA86^4)+0.7198*(AA86^3)-1.3229*(AA86^2)+1.3414*AA86-0.0072))))</f>
        <v>0.28200401183482832</v>
      </c>
      <c r="AJ86" s="133">
        <f>T86*AI86</f>
        <v>6.3016885612319412E-2</v>
      </c>
      <c r="AK86" s="146">
        <f t="shared" si="2"/>
        <v>0.11173047717000005</v>
      </c>
      <c r="AL86" s="1122"/>
      <c r="AM86" s="1065"/>
      <c r="AN86" s="1123"/>
      <c r="AO86" s="138">
        <f>IF(ISNA(VLOOKUP(I86,'Efficiency Lookup'!$D$2:$G$35,3,FALSE)),0,VLOOKUP(I86,'Efficiency Lookup'!$D$2:$G$35,3,FALSE))</f>
        <v>0</v>
      </c>
      <c r="AP86" s="133">
        <f>U86*AO86</f>
        <v>0</v>
      </c>
      <c r="AQ86" s="288">
        <f>IF(X86="RR",IF((0.0308*(AA86^5)-0.2562*(AA86^4)+0.8634*(AA86^3)-1.5285*(AA86^2)+1.501*AA86-0.013)&gt;0.7,0.7,IF((0.0308*(AA86^5)-0.2562*(AA86^4)+0.8634*(AA86^3)-1.5285*(AA86^2)+1.501*AA86-0.013)&lt;0,0,(0.0308*(AA86^5)-0.2562*(AA86^4)+0.8634*(AA86^3)-1.5285*(AA86^2)+1.501*AA86-0.013))),IF((0.0152*(AA86^5)-0.131*(AA86^4)+0.4581*(AA86^3)-0.8418*(AA86^2)+0.8536*AA86-0.0046)&gt;0.65,0.65,IF((0.0152*(AA86^5)-0.131*(AA86^4)+0.4581*(AA86^3)-0.8418*(AA86^2)+0.8536*AA86-0.0046)&lt;0,0,(0.0152*(AA86^5)-0.131*(AA86^4)+0.4581*(AA86^3)-0.8418*(AA86^2)+0.8536*AA86-0.0046))))</f>
        <v>0.1794382020469181</v>
      </c>
      <c r="AR86" s="313">
        <f>U86*AQ86</f>
        <v>0.20850664574718203</v>
      </c>
      <c r="AS86" s="400">
        <f>IF(AK86=AF86,MAX(AP86,AR86),IF(AK86=AH86,AP86,AR86))</f>
        <v>0.20850664574718203</v>
      </c>
      <c r="AT86" s="1122"/>
      <c r="AU86" s="1123"/>
      <c r="AV86" s="138">
        <f>IF(ISNA(VLOOKUP(I86,'Efficiency Lookup'!$D$2:$G$35,4,FALSE)),0,VLOOKUP(I86,'Efficiency Lookup'!$D$2:$G$35,4,FALSE))</f>
        <v>0</v>
      </c>
      <c r="AW86" s="133">
        <f>$V86*AV86</f>
        <v>0</v>
      </c>
      <c r="AX86" s="288">
        <f>IF(X86="RR",IF((0.0326*(AA86^5)-0.2806*(AA86^4)+0.9816*(AA86^3)-1.8039*(AA86^2)+1.8292*AA86-0.0098)&gt;0.85,0.85,IF((0.0326*(AA86^5)-0.2806*(AA86^4)+0.9816*(AA86^3)-1.8039*(AA86^2)+1.8292*AA86-0.0098)&lt;0,0,(0.0326*(AA86^5)-0.2806*(AA86^4)+0.9816*(AA86^3)-1.8039*(AA86^2)+1.8292*AA86-0.0098))),IF((0.0304*(AA86^5)-0.2619*(AA86^4)+0.9161*(AA86^3)-1.6837*(AA86^2)+1.7072*AA86-0.0091)&gt;0.8,0.8,IF((0.0304*(AA86^5)-0.2619*(AA86^4)+0.9161*(AA86^3)-1.6837*(AA86^2)+1.7072*AA86-0.0091)&lt;0,0,(0.0304*(AA86^5)-0.2619*(AA86^4)+0.9161*(AA86^3)-1.6837*(AA86^2)+1.7072*AA86-0.0091))))</f>
        <v>0.35896672216738701</v>
      </c>
      <c r="AY86" s="401">
        <f>$V86*AX86</f>
        <v>33.762512992647551</v>
      </c>
      <c r="AZ86" s="400">
        <f>IF(AS86=AP86,AW86,AY86)</f>
        <v>33.762512992647551</v>
      </c>
      <c r="BA86" s="1122"/>
      <c r="BB86" s="1123"/>
      <c r="BC86" s="1158"/>
      <c r="BD86" s="1124"/>
      <c r="BE86" s="1159"/>
      <c r="BF86" s="14"/>
    </row>
    <row r="87" spans="1:61" ht="18.600000000000001" customHeight="1" x14ac:dyDescent="0.25">
      <c r="B87" s="11">
        <v>-78.451319999999996</v>
      </c>
      <c r="C87" s="11">
        <v>38.033011000000002</v>
      </c>
      <c r="D87" s="11">
        <v>328.04</v>
      </c>
      <c r="E87" s="1048" t="s">
        <v>289</v>
      </c>
      <c r="F87" s="798" t="s">
        <v>371</v>
      </c>
      <c r="G87" s="1021" t="s">
        <v>291</v>
      </c>
      <c r="H87" s="1021"/>
      <c r="I87" s="1021"/>
      <c r="J87" s="11" t="s">
        <v>292</v>
      </c>
      <c r="K87" s="9">
        <v>5.7105999999999997E-2</v>
      </c>
      <c r="L87" s="9"/>
      <c r="M87" s="660">
        <v>0</v>
      </c>
      <c r="N87" s="659">
        <f>K87</f>
        <v>5.7105999999999997E-2</v>
      </c>
      <c r="O87" s="7">
        <f t="shared" si="25"/>
        <v>0</v>
      </c>
      <c r="P87" s="7">
        <f t="shared" si="26"/>
        <v>1</v>
      </c>
      <c r="Q87" s="8"/>
      <c r="R87" s="8"/>
      <c r="S87" s="8"/>
      <c r="T87" s="8">
        <f>IF(J86="TT",IF(F86="u/g detention",(43*0.9*(0.05+0.9*P87)*0.26*$K87*2.72/12)-AK85,(43*0.9*(0.05+0.9*P87)*0.26*$K87*2.72/12)-AK86),43*0.9*(0.05+0.9*P87)*0.26*$K87*2.72/12)</f>
        <v>0.12373065650400006</v>
      </c>
      <c r="U87" s="8">
        <f t="shared" si="27"/>
        <v>0.64339941382080035</v>
      </c>
      <c r="V87" s="8">
        <f t="shared" si="28"/>
        <v>52.07823332253362</v>
      </c>
      <c r="W87" s="8"/>
      <c r="X87" s="34" t="s">
        <v>278</v>
      </c>
      <c r="Y87" s="257">
        <v>53.1</v>
      </c>
      <c r="Z87" s="257">
        <f>N87</f>
        <v>5.7105999999999997E-2</v>
      </c>
      <c r="AA87" s="258">
        <f>IF(Y87="NA", 0, (Y87/43560)*12/Z87)</f>
        <v>0.2561569567743095</v>
      </c>
      <c r="AB87" s="742" t="s">
        <v>286</v>
      </c>
      <c r="AC87" s="288">
        <f t="shared" si="1"/>
        <v>0.5</v>
      </c>
      <c r="AD87" s="742">
        <f t="shared" si="3"/>
        <v>6.1865328252000029E-2</v>
      </c>
      <c r="AE87" s="134">
        <f>IF(ISNA(VLOOKUP(H87,'Efficiency Lookup'!$B$2:$C$38,2,FALSE)),0,(VLOOKUP(H87,'Efficiency Lookup'!$B$2:$C$38,2,FALSE)))</f>
        <v>0</v>
      </c>
      <c r="AF87" s="133">
        <f>T87*AE87</f>
        <v>0</v>
      </c>
      <c r="AG87" s="134">
        <f>IF(ISNA(VLOOKUP(I87,'Efficiency Lookup'!$D$2:$E$35,2,FALSE)),0,VLOOKUP(I87,'Efficiency Lookup'!$D$2:$E$35,2,FALSE))</f>
        <v>0</v>
      </c>
      <c r="AH87" s="133">
        <f>T87*AG87</f>
        <v>0</v>
      </c>
      <c r="AI87" s="132">
        <f>IF(X87="RR",IF((0.0304*(AA87^5)-0.2619*(AA87^4)+0.9161*(AA87^3)-1.6837*(AA87^2)+1.7072*AA87-0.0091)&gt;0.85,0.85,IF((0.0304*(AA87^5)-0.2619*(AA87^4)+0.9161*(AA87^3)-1.6837*(AA87^2)+1.7072*AA87-0.0091)&lt;0,0,(0.0304*(AA87^5)-0.2619*(AA87^4)+0.9161*(AA87^3)-1.6837*(AA87^2)+1.7072*AA87-0.0091))),IF((0.0239*(AA87^5)-0.2058*(AA87^4)+0.7198*(AA87^3)-1.3229*(AA87^2)+1.3414*AA87-0.0072)&gt;0.65,0.65,IF((0.0239*(AA87^5)-0.2058*(AA87^4)+0.7198*(AA87^3)-1.3229*(AA87^2)+1.3414*AA87-0.0072)&lt;0,0,(0.0239*(AA87^5)-0.2058*(AA87^4)+0.7198*(AA87^3)-1.3229*(AA87^2)+1.3414*AA87-0.0072))))</f>
        <v>0.26084377507687784</v>
      </c>
      <c r="AJ87" s="133">
        <f>T87*AI87</f>
        <v>3.2274371535243825E-2</v>
      </c>
      <c r="AK87" s="146">
        <f t="shared" si="2"/>
        <v>6.1865328252000029E-2</v>
      </c>
      <c r="AL87" s="1122"/>
      <c r="AM87" s="1065"/>
      <c r="AN87" s="1123"/>
      <c r="AO87" s="138">
        <f>IF(ISNA(VLOOKUP(I87,'Efficiency Lookup'!$D$2:$G$35,3,FALSE)),0,VLOOKUP(I87,'Efficiency Lookup'!$D$2:$G$35,3,FALSE))</f>
        <v>0</v>
      </c>
      <c r="AP87" s="133">
        <f>U87*AO87</f>
        <v>0</v>
      </c>
      <c r="AQ87" s="288">
        <f>IF(X87="RR",IF((0.0308*(AA87^5)-0.2562*(AA87^4)+0.8634*(AA87^3)-1.5285*(AA87^2)+1.501*AA87-0.013)&gt;0.7,0.7,IF((0.0308*(AA87^5)-0.2562*(AA87^4)+0.8634*(AA87^3)-1.5285*(AA87^2)+1.501*AA87-0.013)&lt;0,0,(0.0308*(AA87^5)-0.2562*(AA87^4)+0.8634*(AA87^3)-1.5285*(AA87^2)+1.501*AA87-0.013))),IF((0.0152*(AA87^5)-0.131*(AA87^4)+0.4581*(AA87^3)-0.8418*(AA87^2)+0.8536*AA87-0.0046)&gt;0.65,0.65,IF((0.0152*(AA87^5)-0.131*(AA87^4)+0.4581*(AA87^3)-0.8418*(AA87^2)+0.8536*AA87-0.0046)&lt;0,0,(0.0152*(AA87^5)-0.131*(AA87^4)+0.4581*(AA87^3)-0.8418*(AA87^2)+0.8536*AA87-0.0046))))</f>
        <v>0.16597223399038846</v>
      </c>
      <c r="AR87" s="313">
        <f>U87*AQ87</f>
        <v>0.10678643805994466</v>
      </c>
      <c r="AS87" s="400">
        <f>IF(AK87=AF87,MAX(AP87,AR87),IF(AK87=AH87,AP87,AR87))</f>
        <v>0.10678643805994466</v>
      </c>
      <c r="AT87" s="1122"/>
      <c r="AU87" s="1123"/>
      <c r="AV87" s="138">
        <f>IF(ISNA(VLOOKUP(I87,'Efficiency Lookup'!$D$2:$G$35,4,FALSE)),0,VLOOKUP(I87,'Efficiency Lookup'!$D$2:$G$35,4,FALSE))</f>
        <v>0</v>
      </c>
      <c r="AW87" s="133">
        <f>$V87*AV87</f>
        <v>0</v>
      </c>
      <c r="AX87" s="288">
        <f>IF(X87="RR",IF((0.0326*(AA87^5)-0.2806*(AA87^4)+0.9816*(AA87^3)-1.8039*(AA87^2)+1.8292*AA87-0.0098)&gt;0.85,0.85,IF((0.0326*(AA87^5)-0.2806*(AA87^4)+0.9816*(AA87^3)-1.8039*(AA87^2)+1.8292*AA87-0.0098)&lt;0,0,(0.0326*(AA87^5)-0.2806*(AA87^4)+0.9816*(AA87^3)-1.8039*(AA87^2)+1.8292*AA87-0.0098))),IF((0.0304*(AA87^5)-0.2619*(AA87^4)+0.9161*(AA87^3)-1.6837*(AA87^2)+1.7072*AA87-0.0091)&gt;0.8,0.8,IF((0.0304*(AA87^5)-0.2619*(AA87^4)+0.9161*(AA87^3)-1.6837*(AA87^2)+1.7072*AA87-0.0091)&lt;0,0,(0.0304*(AA87^5)-0.2619*(AA87^4)+0.9161*(AA87^3)-1.6837*(AA87^2)+1.7072*AA87-0.0091))))</f>
        <v>0.33203665608375615</v>
      </c>
      <c r="AY87" s="401">
        <f>$V87*AX87</f>
        <v>17.291882447163704</v>
      </c>
      <c r="AZ87" s="400">
        <f>IF(AS87=AP87,AW87,AY87)</f>
        <v>17.291882447163704</v>
      </c>
      <c r="BA87" s="1122"/>
      <c r="BB87" s="1123"/>
      <c r="BC87" s="1158"/>
      <c r="BD87" s="1124"/>
      <c r="BE87" s="1159"/>
      <c r="BF87" s="14"/>
      <c r="BG87" s="657" t="s">
        <v>372</v>
      </c>
      <c r="BH87" s="657"/>
      <c r="BI87" s="657"/>
    </row>
    <row r="88" spans="1:61" ht="18.600000000000001" customHeight="1" x14ac:dyDescent="0.25">
      <c r="B88" s="11">
        <v>-78.451126000000002</v>
      </c>
      <c r="C88" s="11">
        <v>38.033116</v>
      </c>
      <c r="D88" s="11">
        <v>328.05</v>
      </c>
      <c r="E88" s="1048" t="s">
        <v>373</v>
      </c>
      <c r="F88" s="798" t="s">
        <v>374</v>
      </c>
      <c r="G88" s="1021"/>
      <c r="H88" s="1021" t="s">
        <v>375</v>
      </c>
      <c r="I88" s="1021" t="s">
        <v>376</v>
      </c>
      <c r="J88" s="11"/>
      <c r="K88" s="9">
        <v>2.3877100000000002</v>
      </c>
      <c r="L88" s="9"/>
      <c r="M88" s="660">
        <v>1.71</v>
      </c>
      <c r="N88" s="659">
        <f>M88+0.328</f>
        <v>2.0379999999999998</v>
      </c>
      <c r="O88" s="7">
        <f t="shared" si="25"/>
        <v>0.71616737375979489</v>
      </c>
      <c r="P88" s="7">
        <f t="shared" si="26"/>
        <v>0.8535374898961765</v>
      </c>
      <c r="Q88" s="8"/>
      <c r="R88" s="8"/>
      <c r="S88" s="8"/>
      <c r="T88" s="8">
        <f>IF(J87="TT",IF(F87="u/g detention",(43*0.9*(0.05+0.9*P88)*0.26*$K88*2.72/12)-AK87,(43*0.9*(0.05+0.9*P88)*0.26*$K88*2.72/12)-SUM(AK84:AK87)),43*0.9*(0.05+0.9*P88)*0.26*$K88*2.72/12)</f>
        <v>3.7377110461859999</v>
      </c>
      <c r="U88" s="8">
        <f t="shared" si="27"/>
        <v>19.436097440167199</v>
      </c>
      <c r="V88" s="8">
        <f t="shared" si="28"/>
        <v>1573.2025793396872</v>
      </c>
      <c r="W88" s="8"/>
      <c r="X88" s="34" t="s">
        <v>278</v>
      </c>
      <c r="Y88" s="257">
        <f>388*8.25</f>
        <v>3201</v>
      </c>
      <c r="Z88" s="257">
        <f>N88</f>
        <v>2.0379999999999998</v>
      </c>
      <c r="AA88" s="258">
        <f>IF(Y88="NA", 0, (Y88/43560)*12/Z88)</f>
        <v>0.43268801855651712</v>
      </c>
      <c r="AB88" s="742" t="s">
        <v>286</v>
      </c>
      <c r="AC88" s="134" t="str">
        <f t="shared" si="1"/>
        <v>NA</v>
      </c>
      <c r="AD88" s="741">
        <f t="shared" ref="AD88:AD119" si="29">IF(AC88="NA",0,IF(AC88="","",T88*AC88))</f>
        <v>0</v>
      </c>
      <c r="AE88" s="134">
        <f>IF(ISNA(VLOOKUP(H88,'Efficiency Lookup'!$B$2:$C$38,2,FALSE)),0,(VLOOKUP(H88,'Efficiency Lookup'!$B$2:$C$38,2,FALSE)))</f>
        <v>0.5</v>
      </c>
      <c r="AF88" s="133">
        <f>T88*AE88</f>
        <v>1.868855523093</v>
      </c>
      <c r="AG88" s="288">
        <f>IF(ISNA(VLOOKUP(I88,'Efficiency Lookup'!$D$2:$E$35,2,FALSE)),0,VLOOKUP(I88,'Efficiency Lookup'!$D$2:$E$35,2,FALSE))</f>
        <v>0.85</v>
      </c>
      <c r="AH88" s="313">
        <f>T88*AG88</f>
        <v>3.1770543892581</v>
      </c>
      <c r="AI88" s="132">
        <f>IF(X88="RR",IF((0.0304*(AA88^5)-0.2619*(AA88^4)+0.9161*(AA88^3)-1.6837*(AA88^2)+1.7072*AA88-0.0091)&gt;0.85,0.85,IF((0.0304*(AA88^5)-0.2619*(AA88^4)+0.9161*(AA88^3)-1.6837*(AA88^2)+1.7072*AA88-0.0091)&lt;0,0,(0.0304*(AA88^5)-0.2619*(AA88^4)+0.9161*(AA88^3)-1.6837*(AA88^2)+1.7072*AA88-0.0091))),IF((0.0239*(AA88^5)-0.2058*(AA88^4)+0.7198*(AA88^3)-1.3229*(AA88^2)+1.3414*AA88-0.0072)&gt;0.65,0.65,IF((0.0239*(AA88^5)-0.2058*(AA88^4)+0.7198*(AA88^3)-1.3229*(AA88^2)+1.3414*AA88-0.0072)&lt;0,0,(0.0239*(AA88^5)-0.2058*(AA88^4)+0.7198*(AA88^3)-1.3229*(AA88^2)+1.3414*AA88-0.0072))))</f>
        <v>0.37699390195298038</v>
      </c>
      <c r="AJ88" s="133">
        <f>T88*AI88</f>
        <v>1.4090942716744166</v>
      </c>
      <c r="AK88" s="146">
        <f t="shared" si="2"/>
        <v>3.1770543892581</v>
      </c>
      <c r="AL88" s="1122"/>
      <c r="AM88" s="1065"/>
      <c r="AN88" s="1123"/>
      <c r="AO88" s="496">
        <f>IF(ISNA(VLOOKUP(I88,'Efficiency Lookup'!$D$2:$G$35,3,FALSE)),0,VLOOKUP(I88,'Efficiency Lookup'!$D$2:$G$35,3,FALSE))</f>
        <v>0.8</v>
      </c>
      <c r="AP88" s="313">
        <v>0</v>
      </c>
      <c r="AQ88" s="134">
        <f>IF(X88="RR",IF((0.0308*(AA88^5)-0.2562*(AA88^4)+0.8634*(AA88^3)-1.5285*(AA88^2)+1.501*AA88-0.013)&gt;0.7,0.7,IF((0.0308*(AA88^5)-0.2562*(AA88^4)+0.8634*(AA88^3)-1.5285*(AA88^2)+1.501*AA88-0.013)&lt;0,0,(0.0308*(AA88^5)-0.2562*(AA88^4)+0.8634*(AA88^3)-1.5285*(AA88^2)+1.501*AA88-0.013))),IF((0.0152*(AA88^5)-0.131*(AA88^4)+0.4581*(AA88^3)-0.8418*(AA88^2)+0.8536*AA88-0.0046)&gt;0.65,0.65,IF((0.0152*(AA88^5)-0.131*(AA88^4)+0.4581*(AA88^3)-0.8418*(AA88^2)+0.8536*AA88-0.0046)&lt;0,0,(0.0152*(AA88^5)-0.131*(AA88^4)+0.4581*(AA88^3)-0.8418*(AA88^2)+0.8536*AA88-0.0046))))</f>
        <v>0.23988994111260009</v>
      </c>
      <c r="AR88" s="133">
        <f>U88*AQ88</f>
        <v>4.6625242703804668</v>
      </c>
      <c r="AS88" s="400">
        <f>IF(AK88=AF88,MAX(AP88,AR88),IF(AK88=AH88,AP88,AR88))</f>
        <v>0</v>
      </c>
      <c r="AT88" s="1122"/>
      <c r="AU88" s="1123"/>
      <c r="AV88" s="496">
        <f>IF(ISNA(VLOOKUP(I88,'Efficiency Lookup'!$D$2:$G$35,4,FALSE)),0,VLOOKUP(I88,'Efficiency Lookup'!$D$2:$G$35,4,FALSE))</f>
        <v>0.95</v>
      </c>
      <c r="AW88" s="313">
        <v>0</v>
      </c>
      <c r="AX88" s="134">
        <f>IF(X88="RR",IF((0.0326*(AA88^5)-0.2806*(AA88^4)+0.9816*(AA88^3)-1.8039*(AA88^2)+1.8292*AA88-0.0098)&gt;0.85,0.85,IF((0.0326*(AA88^5)-0.2806*(AA88^4)+0.9816*(AA88^3)-1.8039*(AA88^2)+1.8292*AA88-0.0098)&lt;0,0,(0.0326*(AA88^5)-0.2806*(AA88^4)+0.9816*(AA88^3)-1.8039*(AA88^2)+1.8292*AA88-0.0098))),IF((0.0304*(AA88^5)-0.2619*(AA88^4)+0.9161*(AA88^3)-1.6837*(AA88^2)+1.7072*AA88-0.0091)&gt;0.8,0.8,IF((0.0304*(AA88^5)-0.2619*(AA88^4)+0.9161*(AA88^3)-1.6837*(AA88^2)+1.7072*AA88-0.0091)&lt;0,0,(0.0304*(AA88^5)-0.2619*(AA88^4)+0.9161*(AA88^3)-1.6837*(AA88^2)+1.7072*AA88-0.0091))))</f>
        <v>0.47985656468709925</v>
      </c>
      <c r="AY88" s="137">
        <f>$V88*AX88</f>
        <v>754.91158527882601</v>
      </c>
      <c r="AZ88" s="400">
        <f>IF(AS88=AP88,AW88,AY88)</f>
        <v>0</v>
      </c>
      <c r="BA88" s="1122"/>
      <c r="BB88" s="1123"/>
      <c r="BC88" s="1158"/>
      <c r="BD88" s="1124"/>
      <c r="BE88" s="1159"/>
      <c r="BF88" s="14"/>
    </row>
    <row r="89" spans="1:61" s="268" customFormat="1" ht="18.600000000000001" customHeight="1" x14ac:dyDescent="0.25">
      <c r="B89" s="278"/>
      <c r="C89" s="278"/>
      <c r="D89" s="278"/>
      <c r="E89" s="262"/>
      <c r="F89" s="262"/>
      <c r="G89" s="262"/>
      <c r="H89" s="263"/>
      <c r="I89" s="263"/>
      <c r="J89" s="262"/>
      <c r="K89" s="271"/>
      <c r="L89" s="271"/>
      <c r="M89" s="271"/>
      <c r="N89" s="271"/>
      <c r="O89" s="273"/>
      <c r="P89" s="273"/>
      <c r="Q89" s="264"/>
      <c r="R89" s="264"/>
      <c r="S89" s="264"/>
      <c r="T89" s="264"/>
      <c r="U89" s="264"/>
      <c r="V89" s="264"/>
      <c r="W89" s="264"/>
      <c r="X89" s="266"/>
      <c r="Y89" s="265"/>
      <c r="Z89" s="265"/>
      <c r="AA89" s="321"/>
      <c r="AB89" s="747" t="s">
        <v>297</v>
      </c>
      <c r="AC89" s="322" t="str">
        <f t="shared" ref="AC89:AC152" si="30">IF(G89="filterra",0.5, IF(G89="stormfilter",0.45,IF(B89=0,"","NA")))</f>
        <v/>
      </c>
      <c r="AD89" s="754" t="str">
        <f t="shared" si="29"/>
        <v/>
      </c>
      <c r="AE89" s="322"/>
      <c r="AF89" s="266"/>
      <c r="AG89" s="322"/>
      <c r="AH89" s="274"/>
      <c r="AI89" s="334"/>
      <c r="AJ89" s="274"/>
      <c r="AK89" s="280" t="str">
        <f t="shared" ref="AK89:AK152" si="31">IF(AC89="","",MAX(AD89,AF89,AH89,AJ89))</f>
        <v/>
      </c>
      <c r="AO89" s="333"/>
      <c r="AP89" s="274"/>
      <c r="AQ89" s="322"/>
      <c r="AR89" s="274"/>
      <c r="AS89" s="326"/>
      <c r="AU89" s="316"/>
      <c r="AV89" s="333"/>
      <c r="AW89" s="274"/>
      <c r="AX89" s="322"/>
      <c r="AY89" s="275"/>
      <c r="AZ89" s="280"/>
      <c r="BA89" s="264"/>
      <c r="BB89" s="331"/>
      <c r="BE89" s="331"/>
      <c r="BF89" s="277"/>
    </row>
    <row r="90" spans="1:61" ht="18.600000000000001" customHeight="1" x14ac:dyDescent="0.25">
      <c r="A90" s="11" t="s">
        <v>377</v>
      </c>
      <c r="B90" s="289"/>
      <c r="C90" s="289"/>
      <c r="D90" s="289" t="s">
        <v>378</v>
      </c>
      <c r="F90" s="1019"/>
      <c r="G90" s="1019"/>
      <c r="H90" s="1021"/>
      <c r="J90" s="1015" t="s">
        <v>348</v>
      </c>
      <c r="K90" s="11">
        <v>1.18</v>
      </c>
      <c r="L90" s="11"/>
      <c r="M90" s="11">
        <v>0.91</v>
      </c>
      <c r="N90" s="9">
        <v>0.98</v>
      </c>
      <c r="O90" s="7">
        <f>+M90/K90</f>
        <v>0.77118644067796616</v>
      </c>
      <c r="P90" s="7">
        <f>+N90/K90</f>
        <v>0.83050847457627119</v>
      </c>
      <c r="Q90" s="39">
        <f>43*0.9*(0.05+0.9*0.16)*0.26*$K90*2.72/12</f>
        <v>0.52210242240000004</v>
      </c>
      <c r="R90" s="8">
        <f>43*0.9*(0.05+0.9*O90)*0.26*$K90*2.72/12</f>
        <v>2.0024721600000004</v>
      </c>
      <c r="S90" s="8">
        <f>IF(J90="R",R90,Q90)</f>
        <v>2.0024721600000004</v>
      </c>
      <c r="T90" s="8">
        <f>43*0.9*(0.05+0.9*P90)*0.26*$K90*2.72/12</f>
        <v>2.1461575200000005</v>
      </c>
      <c r="U90" s="8">
        <f>T90*5.2</f>
        <v>11.160019104000003</v>
      </c>
      <c r="V90" s="8">
        <f>T90*420.9</f>
        <v>903.3177001680001</v>
      </c>
      <c r="W90" s="8">
        <f>IF(P90 &lt; 16%, 0, IF(K90 &lt; 1, 0, T90-S90))</f>
        <v>0.1436853600000001</v>
      </c>
      <c r="AB90" s="744" t="s">
        <v>297</v>
      </c>
      <c r="AC90" s="750" t="str">
        <f t="shared" si="30"/>
        <v/>
      </c>
      <c r="AD90" s="594" t="str">
        <f t="shared" si="29"/>
        <v/>
      </c>
      <c r="AF90" s="34"/>
      <c r="AH90" s="133"/>
      <c r="AJ90" s="133"/>
      <c r="AK90" s="399" t="str">
        <f t="shared" si="31"/>
        <v/>
      </c>
      <c r="AN90" s="143"/>
      <c r="AO90" s="594"/>
      <c r="AP90" s="594"/>
      <c r="AQ90" s="594"/>
      <c r="AR90" s="594"/>
      <c r="AS90" s="306"/>
      <c r="AU90" s="143"/>
      <c r="AV90" s="594"/>
      <c r="AW90" s="594"/>
      <c r="AX90" s="594"/>
      <c r="AY90" s="594"/>
      <c r="AZ90" s="306"/>
      <c r="BB90" s="143"/>
      <c r="BC90" s="399"/>
      <c r="BE90" s="143"/>
      <c r="BG90" t="s">
        <v>379</v>
      </c>
    </row>
    <row r="91" spans="1:61" ht="18.600000000000001" customHeight="1" x14ac:dyDescent="0.25">
      <c r="A91" s="10"/>
      <c r="B91" s="11">
        <v>-78.483157000000006</v>
      </c>
      <c r="C91" s="11">
        <v>38.070399999999999</v>
      </c>
      <c r="D91" s="13">
        <v>381.01</v>
      </c>
      <c r="E91" s="1048" t="s">
        <v>289</v>
      </c>
      <c r="F91" s="1048" t="s">
        <v>380</v>
      </c>
      <c r="G91" s="1021" t="s">
        <v>291</v>
      </c>
      <c r="H91" s="1021"/>
      <c r="I91" s="1021"/>
      <c r="J91" s="1048"/>
      <c r="K91" s="11">
        <v>0.28999999999999998</v>
      </c>
      <c r="L91" s="11"/>
      <c r="M91" s="11">
        <v>0</v>
      </c>
      <c r="N91" s="11">
        <v>0.28999999999999998</v>
      </c>
      <c r="O91" s="7">
        <f>+M91/K91</f>
        <v>0</v>
      </c>
      <c r="P91" s="7">
        <f>+N91/K91</f>
        <v>1</v>
      </c>
      <c r="Q91" s="8"/>
      <c r="R91" s="8"/>
      <c r="S91" s="8"/>
      <c r="T91" s="8">
        <f>IF(J90="TT",IF(F90="u/g detention",(43*0.9*(0.05+0.9*P91)*0.26*$K91*2.72/12)-AK89,(43*0.9*(0.05+0.9*P91)*0.26*$K91*2.72/12)-AK90),43*0.9*(0.05+0.9*P91)*0.26*$K91*2.72/12)</f>
        <v>0.62833836000000021</v>
      </c>
      <c r="U91" s="8">
        <f>T91*5.2</f>
        <v>3.2673594720000012</v>
      </c>
      <c r="V91" s="8">
        <f>T91*420.9</f>
        <v>264.4676157240001</v>
      </c>
      <c r="W91" s="8"/>
      <c r="X91" s="14" t="s">
        <v>278</v>
      </c>
      <c r="Y91" s="257">
        <v>71</v>
      </c>
      <c r="Z91" s="257">
        <v>0.28999999999999998</v>
      </c>
      <c r="AA91" s="258">
        <f>IF(Y91="NA", 0, (Y91/43560)*12/Z91)</f>
        <v>6.7445616034957731E-2</v>
      </c>
      <c r="AB91" s="742" t="s">
        <v>381</v>
      </c>
      <c r="AC91" s="288">
        <f t="shared" si="30"/>
        <v>0.5</v>
      </c>
      <c r="AD91" s="742">
        <f t="shared" si="29"/>
        <v>0.3141691800000001</v>
      </c>
      <c r="AE91" s="134">
        <f>IF(ISNA(VLOOKUP(H91,'Efficiency Lookup'!$B$2:$C$38,2,FALSE)),0,(VLOOKUP(H91,'Efficiency Lookup'!$B$2:$C$38,2,FALSE)))</f>
        <v>0</v>
      </c>
      <c r="AF91" s="133">
        <f>T91*AE91</f>
        <v>0</v>
      </c>
      <c r="AG91" s="134">
        <f>IF(ISNA(VLOOKUP(I91,'Efficiency Lookup'!$D$2:$E$35,2,FALSE)),0,VLOOKUP(I91,'Efficiency Lookup'!$D$2:$E$35,2,FALSE))</f>
        <v>0</v>
      </c>
      <c r="AH91" s="133">
        <f>T91*AG91</f>
        <v>0</v>
      </c>
      <c r="AI91" s="132">
        <f>IF(X91="RR",IF((0.0304*(AA91^5)-0.2619*(AA91^4)+0.9161*(AA91^3)-1.6837*(AA91^2)+1.7072*AA91-0.0091)&gt;0.85,0.85,IF((0.0304*(AA91^5)-0.2619*(AA91^4)+0.9161*(AA91^3)-1.6837*(AA91^2)+1.7072*AA91-0.0091)&lt;0,0,(0.0304*(AA91^5)-0.2619*(AA91^4)+0.9161*(AA91^3)-1.6837*(AA91^2)+1.7072*AA91-0.0091))),IF((0.0239*(AA91^5)-0.2058*(AA91^4)+0.7198*(AA91^3)-1.3229*(AA91^2)+1.3414*AA91-0.0072)&gt;0.65,0.65,IF((0.0239*(AA91^5)-0.2058*(AA91^4)+0.7198*(AA91^3)-1.3229*(AA91^2)+1.3414*AA91-0.0072)&lt;0,0,(0.0239*(AA91^5)-0.2058*(AA91^4)+0.7198*(AA91^3)-1.3229*(AA91^2)+1.3414*AA91-0.0072))))</f>
        <v>7.7470407245958647E-2</v>
      </c>
      <c r="AJ91" s="133">
        <f>T91*AI91</f>
        <v>4.8677628637457789E-2</v>
      </c>
      <c r="AK91" s="516">
        <f t="shared" si="31"/>
        <v>0.3141691800000001</v>
      </c>
      <c r="AL91" s="34">
        <f>AK91</f>
        <v>0.3141691800000001</v>
      </c>
      <c r="AM91" s="313">
        <f>AL91-W90</f>
        <v>0.17048382000000001</v>
      </c>
      <c r="AN91" s="288">
        <f>AM91/AL91</f>
        <v>0.54264972776769493</v>
      </c>
      <c r="AO91" s="138">
        <f>IF(ISNA(VLOOKUP(I91,'Efficiency Lookup'!$D$2:$G$35,3,FALSE)),0,VLOOKUP(I91,'Efficiency Lookup'!$D$2:$G$35,3,FALSE))</f>
        <v>0</v>
      </c>
      <c r="AP91" s="133">
        <f>U91*AO91</f>
        <v>0</v>
      </c>
      <c r="AQ91" s="135">
        <f>IF(X91="RR",IF((0.0308*(AA91^5)-0.2562*(AA91^4)+0.8634*(AA91^3)-1.5285*(AA91^2)+1.501*AA91-0.013)&gt;0.7,0.7,IF((0.0308*(AA91^5)-0.2562*(AA91^4)+0.8634*(AA91^3)-1.5285*(AA91^2)+1.501*AA91-0.013)&lt;0,0,(0.0308*(AA91^5)-0.2562*(AA91^4)+0.8634*(AA91^3)-1.5285*(AA91^2)+1.501*AA91-0.013))),IF((0.0152*(AA91^5)-0.131*(AA91^4)+0.4581*(AA91^3)-0.8418*(AA91^2)+0.8536*AA91-0.0046)&gt;0.65,0.65,IF((0.0152*(AA91^5)-0.131*(AA91^4)+0.4581*(AA91^3)-0.8418*(AA91^2)+0.8536*AA91-0.0046)&lt;0,0,(0.0152*(AA91^5)-0.131*(AA91^4)+0.4581*(AA91^3)-0.8418*(AA91^2)+0.8536*AA91-0.0046))))</f>
        <v>4.9280161912683799E-2</v>
      </c>
      <c r="AR91" s="34">
        <f>U91*AQ91</f>
        <v>0.1610160038071011</v>
      </c>
      <c r="AS91" s="400">
        <f>IF(AK91=AF91,MAX(AP91,AR91),IF(AK91=AH91,AP91,AR91))</f>
        <v>0.1610160038071011</v>
      </c>
      <c r="AT91" s="313">
        <f>AS91</f>
        <v>0.1610160038071011</v>
      </c>
      <c r="AU91" s="313">
        <f>AT91*AN91</f>
        <v>8.7375290632165536E-2</v>
      </c>
      <c r="AV91" s="138">
        <f>IF(ISNA(VLOOKUP(I91,'Efficiency Lookup'!$D$2:$G$35,4,FALSE)),0,VLOOKUP(I91,'Efficiency Lookup'!$D$2:$G$35,4,FALSE))</f>
        <v>0</v>
      </c>
      <c r="AW91" s="133">
        <f>$V91*AV91</f>
        <v>0</v>
      </c>
      <c r="AX91" s="135">
        <f>IF(X91="RR",IF((0.0326*(AA91^5)-0.2806*(AA91^4)+0.9816*(AA91^3)-1.8039*(AA91^2)+1.8292*AA91-0.0098)&gt;0.85,0.85,IF((0.0326*(AA91^5)-0.2806*(AA91^4)+0.9816*(AA91^3)-1.8039*(AA91^2)+1.8292*AA91-0.0098)&lt;0,0,(0.0326*(AA91^5)-0.2806*(AA91^4)+0.9816*(AA91^3)-1.8039*(AA91^2)+1.8292*AA91-0.0098))),IF((0.0304*(AA91^5)-0.2619*(AA91^4)+0.9161*(AA91^3)-1.6837*(AA91^2)+1.7072*AA91-0.0091)&gt;0.8,0.8,IF((0.0304*(AA91^5)-0.2619*(AA91^4)+0.9161*(AA91^3)-1.6837*(AA91^2)+1.7072*AA91-0.0091)&lt;0,0,(0.0304*(AA91^5)-0.2619*(AA91^4)+0.9161*(AA91^3)-1.6837*(AA91^2)+1.7072*AA91-0.0091))))</f>
        <v>9.8659840323103307E-2</v>
      </c>
      <c r="AY91" s="144">
        <f>$V91*AX91</f>
        <v>26.092332737961694</v>
      </c>
      <c r="AZ91" s="400">
        <f>IF(AS91=AP91,AW91,AY91)</f>
        <v>26.092332737961694</v>
      </c>
      <c r="BA91" s="313">
        <f>AZ91</f>
        <v>26.092332737961694</v>
      </c>
      <c r="BB91" s="401">
        <f>BA91*AN91</f>
        <v>14.158997257079028</v>
      </c>
      <c r="BC91" s="318">
        <f>AM91</f>
        <v>0.17048382000000001</v>
      </c>
      <c r="BD91" s="318">
        <f>AU91</f>
        <v>8.7375290632165536E-2</v>
      </c>
      <c r="BE91" s="332">
        <f>BB91</f>
        <v>14.158997257079028</v>
      </c>
      <c r="BG91" t="s">
        <v>287</v>
      </c>
    </row>
    <row r="92" spans="1:61" s="268" customFormat="1" ht="18.600000000000001" customHeight="1" x14ac:dyDescent="0.25">
      <c r="B92" s="281"/>
      <c r="C92" s="281"/>
      <c r="D92" s="281"/>
      <c r="E92" s="262"/>
      <c r="F92" s="262"/>
      <c r="G92" s="262"/>
      <c r="H92" s="263"/>
      <c r="I92" s="263"/>
      <c r="J92" s="262"/>
      <c r="K92" s="271"/>
      <c r="L92" s="271"/>
      <c r="M92" s="271"/>
      <c r="N92" s="271"/>
      <c r="O92" s="273"/>
      <c r="P92" s="273"/>
      <c r="Q92" s="264"/>
      <c r="R92" s="264"/>
      <c r="S92" s="264"/>
      <c r="T92" s="264"/>
      <c r="U92" s="264"/>
      <c r="V92" s="264"/>
      <c r="W92" s="264"/>
      <c r="X92" s="264"/>
      <c r="Y92" s="265"/>
      <c r="Z92" s="265"/>
      <c r="AA92" s="264"/>
      <c r="AB92" s="743" t="s">
        <v>297</v>
      </c>
      <c r="AC92" s="751" t="str">
        <f t="shared" si="30"/>
        <v/>
      </c>
      <c r="AD92" s="303" t="str">
        <f t="shared" si="29"/>
        <v/>
      </c>
      <c r="AE92" s="266"/>
      <c r="AF92" s="274"/>
      <c r="AG92" s="264"/>
      <c r="AH92" s="274"/>
      <c r="AI92" s="264"/>
      <c r="AJ92" s="274"/>
      <c r="AK92" s="328" t="str">
        <f t="shared" si="31"/>
        <v/>
      </c>
      <c r="AO92" s="329"/>
      <c r="AP92" s="303"/>
      <c r="AQ92" s="303"/>
      <c r="AR92" s="303"/>
      <c r="AS92" s="326"/>
      <c r="AU92" s="267"/>
      <c r="AV92" s="329"/>
      <c r="AW92" s="303"/>
      <c r="AX92" s="303"/>
      <c r="AY92" s="285"/>
      <c r="AZ92" s="280"/>
      <c r="BA92" s="264"/>
      <c r="BB92" s="331"/>
      <c r="BE92" s="331"/>
      <c r="BF92" s="277"/>
    </row>
    <row r="93" spans="1:61" ht="18.600000000000001" customHeight="1" x14ac:dyDescent="0.25">
      <c r="A93" s="11" t="s">
        <v>382</v>
      </c>
      <c r="B93" s="11"/>
      <c r="C93" s="11"/>
      <c r="D93" s="1111" t="s">
        <v>271</v>
      </c>
      <c r="E93" s="1065"/>
      <c r="F93" s="1019"/>
      <c r="G93" s="1019"/>
      <c r="H93" s="1021"/>
      <c r="I93" s="1021"/>
      <c r="J93" s="1019"/>
      <c r="K93" s="11">
        <v>4.26</v>
      </c>
      <c r="L93" s="11"/>
      <c r="M93" s="11">
        <v>0</v>
      </c>
      <c r="N93" s="9">
        <v>2.79</v>
      </c>
      <c r="O93" s="7">
        <f>+M93/K93</f>
        <v>0</v>
      </c>
      <c r="P93" s="7">
        <f>+N93/K93</f>
        <v>0.65492957746478875</v>
      </c>
      <c r="Q93" s="8">
        <f>43*0.9*(0.05+0.9*0.16)*0.26*$K93*2.72/12</f>
        <v>1.8848782367999999</v>
      </c>
      <c r="R93" s="39">
        <f>43*0.9*(0.05+0.9*O93)*0.26*$K93*2.72/12</f>
        <v>0.48579336000000012</v>
      </c>
      <c r="S93" s="8">
        <f>IF(J93="R",R93,Q93)</f>
        <v>1.8848782367999999</v>
      </c>
      <c r="T93" s="8">
        <f>43*0.9*(0.05+0.9*P93)*0.26*$K93*2.72/12</f>
        <v>6.2126812800000009</v>
      </c>
      <c r="U93" s="8">
        <f>T93*5.2</f>
        <v>32.305942656000006</v>
      </c>
      <c r="V93" s="8">
        <f>T93*420.9</f>
        <v>2614.9175507520004</v>
      </c>
      <c r="W93" s="8">
        <f>IF(P93 &lt; 16%, 0, IF(K93 &lt; 1, 0, T93-S93))</f>
        <v>4.3278030432000012</v>
      </c>
      <c r="X93" s="8"/>
      <c r="Y93" s="257"/>
      <c r="Z93" s="257"/>
      <c r="AA93" s="8"/>
      <c r="AB93" s="744" t="s">
        <v>297</v>
      </c>
      <c r="AC93" s="750" t="str">
        <f t="shared" si="30"/>
        <v/>
      </c>
      <c r="AD93" s="39" t="str">
        <f t="shared" si="29"/>
        <v/>
      </c>
      <c r="AE93" s="34"/>
      <c r="AF93" s="133"/>
      <c r="AG93" s="8"/>
      <c r="AH93" s="133"/>
      <c r="AI93" s="8"/>
      <c r="AJ93" s="133"/>
      <c r="AK93" s="327" t="str">
        <f t="shared" si="31"/>
        <v/>
      </c>
      <c r="AO93" s="589"/>
      <c r="AP93" s="39"/>
      <c r="AQ93" s="39"/>
      <c r="AR93" s="39"/>
      <c r="AS93" s="306"/>
      <c r="AU93" s="28"/>
      <c r="AV93" s="589"/>
      <c r="AW93" s="39"/>
      <c r="AX93" s="39"/>
      <c r="AY93" s="136"/>
      <c r="AZ93" s="146"/>
      <c r="BA93" s="8"/>
      <c r="BB93" s="143"/>
      <c r="BE93" s="143"/>
      <c r="BF93" s="14" t="s">
        <v>345</v>
      </c>
      <c r="BG93" t="s">
        <v>300</v>
      </c>
    </row>
    <row r="94" spans="1:61" ht="18.600000000000001" customHeight="1" x14ac:dyDescent="0.25">
      <c r="A94" s="10" t="s">
        <v>383</v>
      </c>
      <c r="B94" s="11">
        <v>-78.447338999999999</v>
      </c>
      <c r="C94" s="11">
        <v>38.130111999999997</v>
      </c>
      <c r="D94" s="13">
        <v>1</v>
      </c>
      <c r="E94" s="1048" t="s">
        <v>281</v>
      </c>
      <c r="F94" s="1048"/>
      <c r="G94" s="1048"/>
      <c r="H94" s="1021" t="s">
        <v>343</v>
      </c>
      <c r="I94" s="1021" t="s">
        <v>315</v>
      </c>
      <c r="J94" s="1048"/>
      <c r="K94" s="11">
        <v>6.3</v>
      </c>
      <c r="L94" s="11"/>
      <c r="M94" s="11">
        <v>0</v>
      </c>
      <c r="N94" s="11">
        <v>2.79</v>
      </c>
      <c r="O94" s="7">
        <f>+M94/K94</f>
        <v>0</v>
      </c>
      <c r="P94" s="7">
        <f>+N94/K94</f>
        <v>0.44285714285714289</v>
      </c>
      <c r="Q94" s="8"/>
      <c r="R94" s="8"/>
      <c r="S94" s="8"/>
      <c r="T94" s="8">
        <f>IF(J93="TT",IF(F93="u/g detention",(43*0.9*(0.05+0.9*P94)*0.26*$K94*2.72/12)-AK92,(43*0.9*(0.05+0.9*P94)*0.26*$K94*2.72/12)-AK93),43*0.9*(0.05+0.9*P94)*0.26*$K94*2.72/12)</f>
        <v>6.4453147200000025</v>
      </c>
      <c r="U94" s="8">
        <f>T94*5.2</f>
        <v>33.515636544000017</v>
      </c>
      <c r="V94" s="8">
        <f>T94*420.9</f>
        <v>2712.8329656480009</v>
      </c>
      <c r="W94" s="8"/>
      <c r="X94" s="34" t="s">
        <v>285</v>
      </c>
      <c r="Y94" s="257" t="s">
        <v>295</v>
      </c>
      <c r="Z94" s="257">
        <v>5.41</v>
      </c>
      <c r="AA94" s="258">
        <f>IF(Y94="NA", 0, (Y94/43560)*12/Z94)</f>
        <v>0</v>
      </c>
      <c r="AB94" s="742" t="s">
        <v>279</v>
      </c>
      <c r="AC94" s="134" t="str">
        <f t="shared" si="30"/>
        <v>NA</v>
      </c>
      <c r="AD94" s="741">
        <f t="shared" si="29"/>
        <v>0</v>
      </c>
      <c r="AE94" s="134">
        <f>IF(ISNA(VLOOKUP(H94,'Efficiency Lookup'!$B$2:$C$38,2,FALSE)),0,(VLOOKUP(H94,'Efficiency Lookup'!$B$2:$C$38,2,FALSE)))</f>
        <v>0.5</v>
      </c>
      <c r="AF94" s="133">
        <f>T94*AE94</f>
        <v>3.2226573600000012</v>
      </c>
      <c r="AG94" s="135">
        <f>IF(ISNA(VLOOKUP(I94,'Efficiency Lookup'!$D$2:$E$35,2,FALSE)),0,VLOOKUP(I94,'Efficiency Lookup'!$D$2:$E$35,2,FALSE))</f>
        <v>0.75</v>
      </c>
      <c r="AH94" s="34">
        <f>T94*AG94</f>
        <v>4.8339860400000019</v>
      </c>
      <c r="AI94" s="132">
        <f>IF(X94="RR",IF((0.0304*(AA94^5)-0.2619*(AA94^4)+0.9161*(AA94^3)-1.6837*(AA94^2)+1.7072*AA94-0.0091)&gt;0.85,0.85,IF((0.0304*(AA94^5)-0.2619*(AA94^4)+0.9161*(AA94^3)-1.6837*(AA94^2)+1.7072*AA94-0.0091)&lt;0,0,(0.0304*(AA94^5)-0.2619*(AA94^4)+0.9161*(AA94^3)-1.6837*(AA94^2)+1.7072*AA94-0.0091))),IF((0.0239*(AA94^5)-0.2058*(AA94^4)+0.7198*(AA94^3)-1.3229*(AA94^2)+1.3414*AA94-0.0072)&gt;0.65,0.65,IF((0.0239*(AA94^5)-0.2058*(AA94^4)+0.7198*(AA94^3)-1.3229*(AA94^2)+1.3414*AA94-0.0072)&lt;0,0,(0.0239*(AA94^5)-0.2058*(AA94^4)+0.7198*(AA94^3)-1.3229*(AA94^2)+1.3414*AA94-0.0072))))</f>
        <v>0</v>
      </c>
      <c r="AJ94" s="133">
        <f>T94*AI94</f>
        <v>0</v>
      </c>
      <c r="AK94" s="516">
        <f t="shared" si="31"/>
        <v>4.8339860400000019</v>
      </c>
      <c r="AL94" s="34">
        <f>AK94</f>
        <v>4.8339860400000019</v>
      </c>
      <c r="AM94" s="313">
        <f>AL94-W93</f>
        <v>0.50618299680000067</v>
      </c>
      <c r="AN94" s="288">
        <f>AM94/AL94</f>
        <v>0.10471337579617844</v>
      </c>
      <c r="AO94" s="147">
        <f>IF(ISNA(VLOOKUP(I94,'Efficiency Lookup'!$D$2:$G$35,3,FALSE)),0,VLOOKUP(I94,'Efficiency Lookup'!$D$2:$G$35,3,FALSE))</f>
        <v>0.7</v>
      </c>
      <c r="AP94" s="34">
        <f>U94*AO94</f>
        <v>23.460945580800011</v>
      </c>
      <c r="AQ94" s="134">
        <f>IF(X94="RR",IF((0.0308*(AA94^5)-0.2562*(AA94^4)+0.8634*(AA94^3)-1.5285*(AA94^2)+1.501*AA94-0.013)&gt;0.7,0.7,IF((0.0308*(AA94^5)-0.2562*(AA94^4)+0.8634*(AA94^3)-1.5285*(AA94^2)+1.501*AA94-0.013)&lt;0,0,(0.0308*(AA94^5)-0.2562*(AA94^4)+0.8634*(AA94^3)-1.5285*(AA94^2)+1.501*AA94-0.013))),IF((0.0152*(AA94^5)-0.131*(AA94^4)+0.4581*(AA94^3)-0.8418*(AA94^2)+0.8536*AA94-0.0046)&gt;0.65,0.65,IF((0.0152*(AA94^5)-0.131*(AA94^4)+0.4581*(AA94^3)-0.8418*(AA94^2)+0.8536*AA94-0.0046)&lt;0,0,(0.0152*(AA94^5)-0.131*(AA94^4)+0.4581*(AA94^3)-0.8418*(AA94^2)+0.8536*AA94-0.0046))))</f>
        <v>0</v>
      </c>
      <c r="AR94" s="133">
        <f>U94*AQ94</f>
        <v>0</v>
      </c>
      <c r="AS94" s="400">
        <f>IF(AK94=AF94,MAX(AP94,AR94),IF(AK94=AH94,AP94,AR94))</f>
        <v>23.460945580800011</v>
      </c>
      <c r="AT94" s="313">
        <f>AS94</f>
        <v>23.460945580800011</v>
      </c>
      <c r="AU94" s="313">
        <f>AT94*AN94</f>
        <v>2.4566748111360033</v>
      </c>
      <c r="AV94" s="147">
        <f>IF(ISNA(VLOOKUP(I94,'Efficiency Lookup'!$D$2:$G$35,4,FALSE)),0,VLOOKUP(I94,'Efficiency Lookup'!$D$2:$G$35,4,FALSE))</f>
        <v>0.8</v>
      </c>
      <c r="AW94" s="34">
        <f>$V94*AV94</f>
        <v>2170.2663725184007</v>
      </c>
      <c r="AX94" s="134">
        <f>IF(X94="RR",IF((0.0326*(AA94^5)-0.2806*(AA94^4)+0.9816*(AA94^3)-1.8039*(AA94^2)+1.8292*AA94-0.0098)&gt;0.85,0.85,IF((0.0326*(AA94^5)-0.2806*(AA94^4)+0.9816*(AA94^3)-1.8039*(AA94^2)+1.8292*AA94-0.0098)&lt;0,0,(0.0326*(AA94^5)-0.2806*(AA94^4)+0.9816*(AA94^3)-1.8039*(AA94^2)+1.8292*AA94-0.0098))),IF((0.0304*(AA94^5)-0.2619*(AA94^4)+0.9161*(AA94^3)-1.6837*(AA94^2)+1.7072*AA94-0.0091)&gt;0.8,0.8,IF((0.0304*(AA94^5)-0.2619*(AA94^4)+0.9161*(AA94^3)-1.6837*(AA94^2)+1.7072*AA94-0.0091)&lt;0,0,(0.0304*(AA94^5)-0.2619*(AA94^4)+0.9161*(AA94^3)-1.6837*(AA94^2)+1.7072*AA94-0.0091))))</f>
        <v>0</v>
      </c>
      <c r="AY94" s="137">
        <f>$V94*AX94</f>
        <v>0</v>
      </c>
      <c r="AZ94" s="400">
        <f>IF(AS94=AP94,AW94,AY94)</f>
        <v>2170.2663725184007</v>
      </c>
      <c r="BA94" s="313">
        <f>AZ94</f>
        <v>2170.2663725184007</v>
      </c>
      <c r="BB94" s="401">
        <f>BA94*AN94</f>
        <v>227.25591824332827</v>
      </c>
      <c r="BC94" s="318">
        <f>AM94</f>
        <v>0.50618299680000067</v>
      </c>
      <c r="BD94" s="318">
        <f>AU94</f>
        <v>2.4566748111360033</v>
      </c>
      <c r="BE94" s="332">
        <f>BB94</f>
        <v>227.25591824332827</v>
      </c>
      <c r="BF94" s="14"/>
      <c r="BG94" t="s">
        <v>287</v>
      </c>
    </row>
    <row r="95" spans="1:61" s="268" customFormat="1" ht="18.600000000000001" customHeight="1" x14ac:dyDescent="0.25">
      <c r="B95" s="281"/>
      <c r="C95" s="281"/>
      <c r="D95" s="281"/>
      <c r="E95" s="262"/>
      <c r="F95" s="262"/>
      <c r="G95" s="262"/>
      <c r="H95" s="263"/>
      <c r="I95" s="263"/>
      <c r="J95" s="262"/>
      <c r="K95" s="271"/>
      <c r="L95" s="271"/>
      <c r="M95" s="271"/>
      <c r="N95" s="271"/>
      <c r="O95" s="273"/>
      <c r="P95" s="273"/>
      <c r="Q95" s="264"/>
      <c r="R95" s="264"/>
      <c r="S95" s="264"/>
      <c r="T95" s="264"/>
      <c r="U95" s="264"/>
      <c r="V95" s="264"/>
      <c r="W95" s="264"/>
      <c r="X95" s="264"/>
      <c r="Y95" s="265"/>
      <c r="Z95" s="265"/>
      <c r="AA95" s="264"/>
      <c r="AB95" s="743" t="s">
        <v>297</v>
      </c>
      <c r="AC95" s="751" t="str">
        <f t="shared" si="30"/>
        <v/>
      </c>
      <c r="AD95" s="303" t="str">
        <f t="shared" si="29"/>
        <v/>
      </c>
      <c r="AE95" s="266"/>
      <c r="AF95" s="274"/>
      <c r="AG95" s="264"/>
      <c r="AH95" s="274"/>
      <c r="AI95" s="317"/>
      <c r="AJ95" s="274"/>
      <c r="AK95" s="584" t="str">
        <f t="shared" si="31"/>
        <v/>
      </c>
      <c r="AO95" s="329"/>
      <c r="AP95" s="303"/>
      <c r="AQ95" s="303"/>
      <c r="AR95" s="303"/>
      <c r="AS95" s="326"/>
      <c r="AU95" s="267"/>
      <c r="AV95" s="329"/>
      <c r="AW95" s="303"/>
      <c r="AX95" s="303"/>
      <c r="AY95" s="285"/>
      <c r="AZ95" s="280"/>
      <c r="BA95" s="264"/>
      <c r="BB95" s="331"/>
      <c r="BE95" s="331"/>
      <c r="BF95" s="277"/>
    </row>
    <row r="96" spans="1:61" ht="18.600000000000001" customHeight="1" x14ac:dyDescent="0.25">
      <c r="A96" s="11" t="s">
        <v>384</v>
      </c>
      <c r="B96" s="11"/>
      <c r="C96" s="11"/>
      <c r="D96" s="1111" t="s">
        <v>271</v>
      </c>
      <c r="E96" s="1065"/>
      <c r="F96" s="1019"/>
      <c r="G96" s="1019"/>
      <c r="H96" s="1021"/>
      <c r="I96" s="1021"/>
      <c r="K96" s="11">
        <v>28.56</v>
      </c>
      <c r="L96" s="11"/>
      <c r="M96" s="11">
        <v>0</v>
      </c>
      <c r="N96" s="9">
        <v>12.62</v>
      </c>
      <c r="O96" s="7">
        <f>+M96/K96</f>
        <v>0</v>
      </c>
      <c r="P96" s="7">
        <f>+N96/K96</f>
        <v>0.4418767507002801</v>
      </c>
      <c r="Q96" s="8">
        <f>43*0.9*(0.05+0.9*0.16)*0.26*$K96*2.72/12</f>
        <v>12.636648460800002</v>
      </c>
      <c r="R96" s="39">
        <f>43*0.9*(0.05+0.9*O96)*0.26*$K96*2.72/12</f>
        <v>3.2568681600000011</v>
      </c>
      <c r="S96" s="8">
        <f>IF(J96="R",R96,Q96)</f>
        <v>12.636648460800002</v>
      </c>
      <c r="T96" s="8">
        <f>43*0.9*(0.05+0.9*P96)*0.26*$K96*2.72/12</f>
        <v>29.161285919999997</v>
      </c>
      <c r="U96" s="8">
        <f>T96*5.2</f>
        <v>151.63868678399999</v>
      </c>
      <c r="V96" s="8">
        <f>T96*420.9</f>
        <v>12273.985243727999</v>
      </c>
      <c r="W96" s="8">
        <f>IF(P96 &lt; 16%, 0, IF(K96 &lt; 1, 0, T96-S96))</f>
        <v>16.524637459199994</v>
      </c>
      <c r="X96" s="8"/>
      <c r="Y96" s="257"/>
      <c r="Z96" s="257"/>
      <c r="AA96" s="8"/>
      <c r="AB96" s="744" t="s">
        <v>297</v>
      </c>
      <c r="AC96" s="750" t="str">
        <f t="shared" si="30"/>
        <v/>
      </c>
      <c r="AD96" s="39" t="str">
        <f t="shared" si="29"/>
        <v/>
      </c>
      <c r="AE96" s="34"/>
      <c r="AF96" s="133"/>
      <c r="AG96" s="8"/>
      <c r="AH96" s="133"/>
      <c r="AI96" s="1"/>
      <c r="AJ96" s="133"/>
      <c r="AK96" s="585" t="str">
        <f t="shared" si="31"/>
        <v/>
      </c>
      <c r="AO96" s="589"/>
      <c r="AP96" s="39"/>
      <c r="AQ96" s="39"/>
      <c r="AR96" s="39"/>
      <c r="AS96" s="306"/>
      <c r="AU96" s="28"/>
      <c r="AV96" s="589"/>
      <c r="AW96" s="39"/>
      <c r="AX96" s="39"/>
      <c r="AY96" s="136"/>
      <c r="AZ96" s="146"/>
      <c r="BA96" s="8"/>
      <c r="BB96" s="143"/>
      <c r="BE96" s="143"/>
      <c r="BF96" s="14" t="s">
        <v>385</v>
      </c>
      <c r="BG96" t="s">
        <v>300</v>
      </c>
    </row>
    <row r="97" spans="1:59" ht="18.600000000000001" customHeight="1" x14ac:dyDescent="0.25">
      <c r="A97" s="10" t="s">
        <v>386</v>
      </c>
      <c r="B97" s="11">
        <v>-78.445597000000006</v>
      </c>
      <c r="C97" s="11">
        <v>38.125551999999999</v>
      </c>
      <c r="D97" s="13">
        <v>1</v>
      </c>
      <c r="E97" s="1048" t="s">
        <v>281</v>
      </c>
      <c r="F97" s="1021" t="s">
        <v>387</v>
      </c>
      <c r="G97" s="1021"/>
      <c r="H97" s="1021" t="s">
        <v>343</v>
      </c>
      <c r="I97" s="1021" t="s">
        <v>315</v>
      </c>
      <c r="J97" s="1015" t="s">
        <v>292</v>
      </c>
      <c r="K97" s="11">
        <v>23.6</v>
      </c>
      <c r="L97" s="11"/>
      <c r="M97" s="11">
        <v>0</v>
      </c>
      <c r="N97" s="11">
        <v>12.62</v>
      </c>
      <c r="O97" s="7">
        <f>+M97/K97</f>
        <v>0</v>
      </c>
      <c r="P97" s="7">
        <f>+N97/K97</f>
        <v>0.53474576271186436</v>
      </c>
      <c r="Q97" s="8"/>
      <c r="R97" s="8"/>
      <c r="S97" s="8"/>
      <c r="T97" s="8">
        <f>IF(J96="TT",IF(F96="u/g detention",(43*0.9*(0.05+0.9*P97)*0.26*$K97*2.72/12)-AK95,(43*0.9*(0.05+0.9*P97)*0.26*$K97*2.72/12)-AK96),43*0.9*(0.05+0.9*P97)*0.26*$K97*2.72/12)</f>
        <v>28.595667360000011</v>
      </c>
      <c r="U97" s="8">
        <f>T97*5.2</f>
        <v>148.69747027200006</v>
      </c>
      <c r="V97" s="8">
        <f>T97*420.9</f>
        <v>12035.916391824005</v>
      </c>
      <c r="W97" s="8"/>
      <c r="X97" s="34" t="s">
        <v>285</v>
      </c>
      <c r="Y97" s="257" t="s">
        <v>295</v>
      </c>
      <c r="Z97" s="257">
        <v>12.62</v>
      </c>
      <c r="AA97" s="258">
        <f>IF(Y97="NA", 0, (Y97/43560)*12/Z97)</f>
        <v>0</v>
      </c>
      <c r="AB97" s="742" t="s">
        <v>296</v>
      </c>
      <c r="AC97" s="134" t="str">
        <f t="shared" si="30"/>
        <v>NA</v>
      </c>
      <c r="AD97" s="741">
        <f t="shared" si="29"/>
        <v>0</v>
      </c>
      <c r="AE97" s="134">
        <f>IF(ISNA(VLOOKUP(H97,'Efficiency Lookup'!$B$2:$C$38,2,FALSE)),0,(VLOOKUP(H97,'Efficiency Lookup'!$B$2:$C$38,2,FALSE)))</f>
        <v>0.5</v>
      </c>
      <c r="AF97" s="133">
        <f>T97*AE97</f>
        <v>14.297833680000005</v>
      </c>
      <c r="AG97" s="135">
        <f>IF(ISNA(VLOOKUP(I97,'Efficiency Lookup'!$D$2:$E$35,2,FALSE)),0,VLOOKUP(I97,'Efficiency Lookup'!$D$2:$E$35,2,FALSE))</f>
        <v>0.75</v>
      </c>
      <c r="AH97" s="34">
        <f>T97*AG97</f>
        <v>21.446750520000009</v>
      </c>
      <c r="AI97" s="132">
        <f>IF(X97="RR",IF((0.0304*(AA97^5)-0.2619*(AA97^4)+0.9161*(AA97^3)-1.6837*(AA97^2)+1.7072*AA97-0.0091)&gt;0.85,0.85,IF((0.0304*(AA97^5)-0.2619*(AA97^4)+0.9161*(AA97^3)-1.6837*(AA97^2)+1.7072*AA97-0.0091)&lt;0,0,(0.0304*(AA97^5)-0.2619*(AA97^4)+0.9161*(AA97^3)-1.6837*(AA97^2)+1.7072*AA97-0.0091))),IF((0.0239*(AA97^5)-0.2058*(AA97^4)+0.7198*(AA97^3)-1.3229*(AA97^2)+1.3414*AA97-0.0072)&gt;0.65,0.65,IF((0.0239*(AA97^5)-0.2058*(AA97^4)+0.7198*(AA97^3)-1.3229*(AA97^2)+1.3414*AA97-0.0072)&lt;0,0,(0.0239*(AA97^5)-0.2058*(AA97^4)+0.7198*(AA97^3)-1.3229*(AA97^2)+1.3414*AA97-0.0072))))</f>
        <v>0</v>
      </c>
      <c r="AJ97" s="133">
        <f>T97*AI97</f>
        <v>0</v>
      </c>
      <c r="AK97" s="516">
        <f t="shared" si="31"/>
        <v>21.446750520000009</v>
      </c>
      <c r="AL97" s="1100">
        <f>SUM(AK97:AK98)</f>
        <v>26.10837114600001</v>
      </c>
      <c r="AM97" s="1100">
        <f>AL97-W96</f>
        <v>9.5837336868000165</v>
      </c>
      <c r="AN97" s="1112">
        <f>AM97/AL97</f>
        <v>0.36707512824936661</v>
      </c>
      <c r="AO97" s="147">
        <f>IF(ISNA(VLOOKUP(I97,'Efficiency Lookup'!$D$2:$G$35,3,FALSE)),0,VLOOKUP(I97,'Efficiency Lookup'!$D$2:$G$35,3,FALSE))</f>
        <v>0.7</v>
      </c>
      <c r="AP97" s="34">
        <f>U97*AO97</f>
        <v>104.08822919040004</v>
      </c>
      <c r="AQ97" s="134">
        <f>IF(X97="RR",IF((0.0308*(AA97^5)-0.2562*(AA97^4)+0.8634*(AA97^3)-1.5285*(AA97^2)+1.501*AA97-0.013)&gt;0.7,0.7,IF((0.0308*(AA97^5)-0.2562*(AA97^4)+0.8634*(AA97^3)-1.5285*(AA97^2)+1.501*AA97-0.013)&lt;0,0,(0.0308*(AA97^5)-0.2562*(AA97^4)+0.8634*(AA97^3)-1.5285*(AA97^2)+1.501*AA97-0.013))),IF((0.0152*(AA97^5)-0.131*(AA97^4)+0.4581*(AA97^3)-0.8418*(AA97^2)+0.8536*AA97-0.0046)&gt;0.65,0.65,IF((0.0152*(AA97^5)-0.131*(AA97^4)+0.4581*(AA97^3)-0.8418*(AA97^2)+0.8536*AA97-0.0046)&lt;0,0,(0.0152*(AA97^5)-0.131*(AA97^4)+0.4581*(AA97^3)-0.8418*(AA97^2)+0.8536*AA97-0.0046))))</f>
        <v>0</v>
      </c>
      <c r="AR97" s="133">
        <f>U97*AQ97</f>
        <v>0</v>
      </c>
      <c r="AS97" s="400">
        <f>IF(AK97=AF97,MAX(AP97,AR97),IF(AK97=AH97,AP97,AR97))</f>
        <v>104.08822919040004</v>
      </c>
      <c r="AT97" s="1100">
        <f>SUM(AS97:AS98)</f>
        <v>117.29592859677518</v>
      </c>
      <c r="AU97" s="1120">
        <f>AT97*AN97</f>
        <v>43.0564180327898</v>
      </c>
      <c r="AV97" s="147">
        <f>IF(ISNA(VLOOKUP(I97,'Efficiency Lookup'!$D$2:$G$35,4,FALSE)),0,VLOOKUP(I97,'Efficiency Lookup'!$D$2:$G$35,4,FALSE))</f>
        <v>0.8</v>
      </c>
      <c r="AW97" s="34">
        <f>$V97*AV97</f>
        <v>9628.7331134592041</v>
      </c>
      <c r="AX97" s="134">
        <f>IF(X97="RR",IF((0.0326*(AA97^5)-0.2806*(AA97^4)+0.9816*(AA97^3)-1.8039*(AA97^2)+1.8292*AA97-0.0098)&gt;0.85,0.85,IF((0.0326*(AA97^5)-0.2806*(AA97^4)+0.9816*(AA97^3)-1.8039*(AA97^2)+1.8292*AA97-0.0098)&lt;0,0,(0.0326*(AA97^5)-0.2806*(AA97^4)+0.9816*(AA97^3)-1.8039*(AA97^2)+1.8292*AA97-0.0098))),IF((0.0304*(AA97^5)-0.2619*(AA97^4)+0.9161*(AA97^3)-1.6837*(AA97^2)+1.7072*AA97-0.0091)&gt;0.8,0.8,IF((0.0304*(AA97^5)-0.2619*(AA97^4)+0.9161*(AA97^3)-1.6837*(AA97^2)+1.7072*AA97-0.0091)&lt;0,0,(0.0304*(AA97^5)-0.2619*(AA97^4)+0.9161*(AA97^3)-1.6837*(AA97^2)+1.7072*AA97-0.0091))))</f>
        <v>0</v>
      </c>
      <c r="AY97" s="137">
        <f>$V97*AX97</f>
        <v>0</v>
      </c>
      <c r="AZ97" s="400">
        <f>IF(AS97=AP97,AW97,AY97)</f>
        <v>9628.7331134592041</v>
      </c>
      <c r="BA97" s="1100">
        <f>SUM(AZ97:AZ98)</f>
        <v>11766.84274356995</v>
      </c>
      <c r="BB97" s="1120">
        <f>BA97*AN97</f>
        <v>4319.3153091860686</v>
      </c>
      <c r="BC97" s="1105">
        <f>AM97</f>
        <v>9.5837336868000165</v>
      </c>
      <c r="BD97" s="1106">
        <f>AU97</f>
        <v>43.0564180327898</v>
      </c>
      <c r="BE97" s="1107">
        <f>BB97</f>
        <v>4319.3153091860686</v>
      </c>
      <c r="BF97" s="14"/>
      <c r="BG97" t="s">
        <v>287</v>
      </c>
    </row>
    <row r="98" spans="1:59" ht="18.600000000000001" customHeight="1" x14ac:dyDescent="0.25">
      <c r="A98" s="10" t="s">
        <v>388</v>
      </c>
      <c r="B98" s="11">
        <v>-78.446520000000007</v>
      </c>
      <c r="C98" s="11">
        <v>38.124066999999997</v>
      </c>
      <c r="D98" s="16">
        <v>380.14</v>
      </c>
      <c r="E98" s="1048" t="s">
        <v>274</v>
      </c>
      <c r="F98" s="1015" t="s">
        <v>275</v>
      </c>
      <c r="G98" s="1015"/>
      <c r="H98" s="1021" t="s">
        <v>276</v>
      </c>
      <c r="I98" s="1021" t="s">
        <v>277</v>
      </c>
      <c r="J98" s="1015"/>
      <c r="K98" s="11">
        <v>23.8</v>
      </c>
      <c r="L98" s="11"/>
      <c r="M98" s="11">
        <v>0</v>
      </c>
      <c r="N98" s="9">
        <v>12.62</v>
      </c>
      <c r="O98" s="7">
        <f>+M98/K98</f>
        <v>0</v>
      </c>
      <c r="P98" s="7">
        <f>+N98/K98</f>
        <v>0.53025210084033614</v>
      </c>
      <c r="Q98" s="8"/>
      <c r="R98" s="8"/>
      <c r="S98" s="8"/>
      <c r="T98" s="8">
        <f>IF(J97="TT",IF(F97="u/g detention",(43*0.9*(0.05+0.9*P98)*0.26*$K98*2.72/12)-AK96,(43*0.9*(0.05+0.9*P98)*0.26*$K98*2.72/12)-AK97),43*0.9*(0.05+0.9*P98)*0.26*$K98*2.72/12)</f>
        <v>7.1717240400000009</v>
      </c>
      <c r="U98" s="8">
        <f>T98*5.2</f>
        <v>37.292965008000003</v>
      </c>
      <c r="V98" s="8">
        <f>T98*420.9</f>
        <v>3018.5786484360001</v>
      </c>
      <c r="W98" s="8"/>
      <c r="X98" s="36" t="s">
        <v>278</v>
      </c>
      <c r="Y98" s="257">
        <v>134067</v>
      </c>
      <c r="Z98" s="257">
        <v>35.14</v>
      </c>
      <c r="AA98" s="258">
        <f>IF(Y98="NA", 0, (Y98/43560)*12/Z98)</f>
        <v>1.0510261198417663</v>
      </c>
      <c r="AB98" s="742" t="s">
        <v>296</v>
      </c>
      <c r="AC98" s="134" t="str">
        <f t="shared" si="30"/>
        <v>NA</v>
      </c>
      <c r="AD98" s="741">
        <f t="shared" si="29"/>
        <v>0</v>
      </c>
      <c r="AE98" s="135">
        <f>IF(ISNA(VLOOKUP(H98,'Efficiency Lookup'!$B$2:$C$38,2,FALSE)),0,(VLOOKUP(H98,'Efficiency Lookup'!$B$2:$C$38,2,FALSE)))</f>
        <v>0.65</v>
      </c>
      <c r="AF98" s="34">
        <f>T98*AE98</f>
        <v>4.6616206260000004</v>
      </c>
      <c r="AG98" s="134">
        <f>IF(ISNA(VLOOKUP(I98,'Efficiency Lookup'!$D$2:$E$35,2,FALSE)),0,VLOOKUP(I98,'Efficiency Lookup'!$D$2:$E$35,2,FALSE))</f>
        <v>0.45</v>
      </c>
      <c r="AH98" s="133">
        <f>T98*AG98</f>
        <v>3.2272758180000003</v>
      </c>
      <c r="AI98" s="132">
        <f>IF(X98="RR",IF((0.0304*(AA98^5)-0.2619*(AA98^4)+0.9161*(AA98^3)-1.6837*(AA98^2)+1.7072*AA98-0.0091)&gt;0.85,0.85,IF((0.0304*(AA98^5)-0.2619*(AA98^4)+0.9161*(AA98^3)-1.6837*(AA98^2)+1.7072*AA98-0.0091)&lt;0,0,(0.0304*(AA98^5)-0.2619*(AA98^4)+0.9161*(AA98^3)-1.6837*(AA98^2)+1.7072*AA98-0.0091))),IF((0.0239*(AA98^5)-0.2058*(AA98^4)+0.7198*(AA98^3)-1.3229*(AA98^2)+1.3414*AA98-0.0072)&gt;0.65,0.65,IF((0.0239*(AA98^5)-0.2058*(AA98^4)+0.7198*(AA98^3)-1.3229*(AA98^2)+1.3414*AA98-0.0072)&lt;0,0,(0.0239*(AA98^5)-0.2058*(AA98^4)+0.7198*(AA98^3)-1.3229*(AA98^2)+1.3414*AA98-0.0072))))</f>
        <v>0.55652292647275237</v>
      </c>
      <c r="AJ98" s="133">
        <f>T98*AI98</f>
        <v>3.9912288505957911</v>
      </c>
      <c r="AK98" s="516">
        <f t="shared" si="31"/>
        <v>4.6616206260000004</v>
      </c>
      <c r="AL98" s="1100"/>
      <c r="AM98" s="1100"/>
      <c r="AN98" s="1112"/>
      <c r="AO98" s="138">
        <f>IF(ISNA(VLOOKUP(I98,'Efficiency Lookup'!$D$2:$G$35,3,FALSE)),0,VLOOKUP(I98,'Efficiency Lookup'!$D$2:$G$35,3,FALSE))</f>
        <v>0.2</v>
      </c>
      <c r="AP98" s="133">
        <f>U98*AO98</f>
        <v>7.4585930016000006</v>
      </c>
      <c r="AQ98" s="135">
        <f>IF(X98="RR",IF((0.0308*(AA98^5)-0.2562*(AA98^4)+0.8634*(AA98^3)-1.5285*(AA98^2)+1.501*AA98-0.013)&gt;0.7,0.7,IF((0.0308*(AA98^5)-0.2562*(AA98^4)+0.8634*(AA98^3)-1.5285*(AA98^2)+1.501*AA98-0.013)&lt;0,0,(0.0308*(AA98^5)-0.2562*(AA98^4)+0.8634*(AA98^3)-1.5285*(AA98^2)+1.501*AA98-0.013))),IF((0.0152*(AA98^5)-0.131*(AA98^4)+0.4581*(AA98^3)-0.8418*(AA98^2)+0.8536*AA98-0.0046)&gt;0.65,0.65,IF((0.0152*(AA98^5)-0.131*(AA98^4)+0.4581*(AA98^3)-0.8418*(AA98^2)+0.8536*AA98-0.0046)&lt;0,0,(0.0152*(AA98^5)-0.131*(AA98^4)+0.4581*(AA98^3)-0.8418*(AA98^2)+0.8536*AA98-0.0046))))</f>
        <v>0.35416061457011677</v>
      </c>
      <c r="AR98" s="34">
        <f>U98*AQ98</f>
        <v>13.207699406375141</v>
      </c>
      <c r="AS98" s="400">
        <f>IF(AK98=AF98,MAX(AP98,AR98),IF(AK98=AH98,AP98,AR98))</f>
        <v>13.207699406375141</v>
      </c>
      <c r="AT98" s="1100"/>
      <c r="AU98" s="1120"/>
      <c r="AV98" s="138">
        <f>IF(ISNA(VLOOKUP(I98,'Efficiency Lookup'!$D$2:$G$35,4,FALSE)),0,VLOOKUP(I98,'Efficiency Lookup'!$D$2:$G$35,4,FALSE))</f>
        <v>0.6</v>
      </c>
      <c r="AW98" s="133">
        <f>$V98*AV98</f>
        <v>1811.1471890616001</v>
      </c>
      <c r="AX98" s="135">
        <f>IF(X98="RR",IF((0.0326*(AA98^5)-0.2806*(AA98^4)+0.9816*(AA98^3)-1.8039*(AA98^2)+1.8292*AA98-0.0098)&gt;0.85,0.85,IF((0.0326*(AA98^5)-0.2806*(AA98^4)+0.9816*(AA98^3)-1.8039*(AA98^2)+1.8292*AA98-0.0098)&lt;0,0,(0.0326*(AA98^5)-0.2806*(AA98^4)+0.9816*(AA98^3)-1.8039*(AA98^2)+1.8292*AA98-0.0098))),IF((0.0304*(AA98^5)-0.2619*(AA98^4)+0.9161*(AA98^3)-1.6837*(AA98^2)+1.7072*AA98-0.0091)&gt;0.8,0.8,IF((0.0304*(AA98^5)-0.2619*(AA98^4)+0.9161*(AA98^3)-1.6837*(AA98^2)+1.7072*AA98-0.0091)&lt;0,0,(0.0304*(AA98^5)-0.2619*(AA98^4)+0.9161*(AA98^3)-1.6837*(AA98^2)+1.7072*AA98-0.0091))))</f>
        <v>0.70831668779561319</v>
      </c>
      <c r="AY98" s="144">
        <f>$V98*AX98</f>
        <v>2138.1096301107464</v>
      </c>
      <c r="AZ98" s="400">
        <f>IF(AS98=AP98,AW98,AY98)</f>
        <v>2138.1096301107464</v>
      </c>
      <c r="BA98" s="1100"/>
      <c r="BB98" s="1120"/>
      <c r="BC98" s="1105"/>
      <c r="BD98" s="1106"/>
      <c r="BE98" s="1107"/>
      <c r="BF98" s="14"/>
      <c r="BG98" t="s">
        <v>287</v>
      </c>
    </row>
    <row r="99" spans="1:59" s="268" customFormat="1" ht="18.600000000000001" customHeight="1" x14ac:dyDescent="0.25">
      <c r="A99" s="271"/>
      <c r="B99" s="282"/>
      <c r="C99" s="282"/>
      <c r="D99" s="282"/>
      <c r="E99" s="270"/>
      <c r="F99" s="270"/>
      <c r="G99" s="270"/>
      <c r="H99" s="263"/>
      <c r="I99" s="263"/>
      <c r="J99" s="270"/>
      <c r="K99" s="271"/>
      <c r="L99" s="271"/>
      <c r="M99" s="271"/>
      <c r="N99" s="272"/>
      <c r="O99" s="273"/>
      <c r="P99" s="273"/>
      <c r="Q99" s="264"/>
      <c r="R99" s="264"/>
      <c r="S99" s="264"/>
      <c r="T99" s="264"/>
      <c r="U99" s="264"/>
      <c r="V99" s="264"/>
      <c r="W99" s="264"/>
      <c r="X99" s="266"/>
      <c r="Y99" s="265"/>
      <c r="Z99" s="265"/>
      <c r="AA99" s="264"/>
      <c r="AB99" s="743" t="s">
        <v>297</v>
      </c>
      <c r="AC99" s="751" t="str">
        <f t="shared" si="30"/>
        <v/>
      </c>
      <c r="AD99" s="303" t="str">
        <f t="shared" si="29"/>
        <v/>
      </c>
      <c r="AE99" s="266"/>
      <c r="AF99" s="266"/>
      <c r="AG99" s="264"/>
      <c r="AH99" s="274"/>
      <c r="AI99" s="317"/>
      <c r="AJ99" s="274"/>
      <c r="AK99" s="584" t="str">
        <f t="shared" si="31"/>
        <v/>
      </c>
      <c r="AO99" s="329"/>
      <c r="AP99" s="303"/>
      <c r="AQ99" s="303"/>
      <c r="AR99" s="303"/>
      <c r="AS99" s="326"/>
      <c r="AU99" s="316"/>
      <c r="AV99" s="329"/>
      <c r="AW99" s="303"/>
      <c r="AX99" s="303"/>
      <c r="AY99" s="285"/>
      <c r="AZ99" s="280"/>
      <c r="BA99" s="264"/>
      <c r="BB99" s="331"/>
      <c r="BE99" s="331"/>
      <c r="BF99" s="277"/>
    </row>
    <row r="100" spans="1:59" ht="18.600000000000001" customHeight="1" x14ac:dyDescent="0.25">
      <c r="A100" s="11" t="s">
        <v>389</v>
      </c>
      <c r="B100" s="11"/>
      <c r="C100" s="11"/>
      <c r="D100" s="1111" t="s">
        <v>271</v>
      </c>
      <c r="E100" s="1065"/>
      <c r="F100" s="1019"/>
      <c r="G100" s="1019"/>
      <c r="H100" s="1021"/>
      <c r="I100" s="1021"/>
      <c r="J100" s="1019"/>
      <c r="K100" s="11">
        <v>7.92</v>
      </c>
      <c r="L100" s="11"/>
      <c r="M100" s="11">
        <v>0</v>
      </c>
      <c r="N100" s="9">
        <v>4.8600000000000003</v>
      </c>
      <c r="O100" s="7">
        <f>+M100/K100</f>
        <v>0</v>
      </c>
      <c r="P100" s="7">
        <f>+N100/K100</f>
        <v>0.61363636363636365</v>
      </c>
      <c r="Q100" s="8">
        <f>43*0.9*(0.05+0.9*0.16)*0.26*$K100*2.72/12</f>
        <v>3.5042806656000001</v>
      </c>
      <c r="R100" s="39">
        <f>43*0.9*(0.05+0.9*O100)*0.26*$K100*2.72/12</f>
        <v>0.90316512000000027</v>
      </c>
      <c r="S100" s="8">
        <f>IF(J100="R",R100,Q100)</f>
        <v>3.5042806656000001</v>
      </c>
      <c r="T100" s="8">
        <f>43*0.9*(0.05+0.9*P100)*0.26*$K100*2.72/12</f>
        <v>10.879034400000004</v>
      </c>
      <c r="U100" s="8">
        <f>T100*5.2</f>
        <v>56.57097888000002</v>
      </c>
      <c r="V100" s="8">
        <f>T100*420.9</f>
        <v>4578.9855789600015</v>
      </c>
      <c r="W100" s="8">
        <f>IF(P100 &lt; 16%, 0, IF(K100 &lt; 1, 0, T100-S100))</f>
        <v>7.374753734400004</v>
      </c>
      <c r="X100" s="34"/>
      <c r="Y100" s="257"/>
      <c r="Z100" s="257"/>
      <c r="AA100" s="8"/>
      <c r="AB100" s="744" t="s">
        <v>297</v>
      </c>
      <c r="AC100" s="134" t="str">
        <f t="shared" si="30"/>
        <v/>
      </c>
      <c r="AD100" s="133" t="str">
        <f t="shared" si="29"/>
        <v/>
      </c>
      <c r="AE100" s="133"/>
      <c r="AF100" s="34"/>
      <c r="AG100" s="39"/>
      <c r="AH100" s="133"/>
      <c r="AI100" s="39"/>
      <c r="AJ100" s="133"/>
      <c r="AK100" s="585" t="str">
        <f t="shared" si="31"/>
        <v/>
      </c>
      <c r="AO100" s="589"/>
      <c r="AP100" s="39"/>
      <c r="AQ100" s="39"/>
      <c r="AR100" s="39"/>
      <c r="AS100" s="306"/>
      <c r="AU100" s="38"/>
      <c r="AV100" s="589"/>
      <c r="AW100" s="39"/>
      <c r="AX100" s="39"/>
      <c r="AY100" s="136"/>
      <c r="AZ100" s="146"/>
      <c r="BA100" s="8"/>
      <c r="BB100" s="143"/>
      <c r="BE100" s="143"/>
      <c r="BF100" s="14" t="s">
        <v>385</v>
      </c>
      <c r="BG100" t="s">
        <v>300</v>
      </c>
    </row>
    <row r="101" spans="1:59" ht="18.600000000000001" customHeight="1" x14ac:dyDescent="0.25">
      <c r="A101" s="10" t="s">
        <v>390</v>
      </c>
      <c r="B101" s="11">
        <v>-78.444215</v>
      </c>
      <c r="C101" s="11">
        <v>38.132416999999997</v>
      </c>
      <c r="D101" s="16">
        <v>475.01</v>
      </c>
      <c r="E101" s="1048" t="s">
        <v>274</v>
      </c>
      <c r="F101" s="1015" t="s">
        <v>275</v>
      </c>
      <c r="G101" s="1015"/>
      <c r="H101" s="1021" t="s">
        <v>276</v>
      </c>
      <c r="I101" s="1021" t="s">
        <v>277</v>
      </c>
      <c r="J101" s="1015"/>
      <c r="K101" s="11">
        <v>7.92</v>
      </c>
      <c r="L101" s="11"/>
      <c r="M101" s="11">
        <v>0</v>
      </c>
      <c r="N101" s="9">
        <v>4.8600000000000003</v>
      </c>
      <c r="O101" s="7">
        <f>+M101/K101</f>
        <v>0</v>
      </c>
      <c r="P101" s="7">
        <f>+N101/K101</f>
        <v>0.61363636363636365</v>
      </c>
      <c r="Q101" s="8"/>
      <c r="R101" s="8"/>
      <c r="S101" s="8"/>
      <c r="T101" s="8">
        <f>IF(J100="TT",IF(F100="u/g detention",(43*0.9*(0.05+0.9*P101)*0.26*$K101*2.72/12)-AK99,(43*0.9*(0.05+0.9*P101)*0.26*$K101*2.72/12)-AK100),43*0.9*(0.05+0.9*P101)*0.26*$K101*2.72/12)</f>
        <v>10.879034400000004</v>
      </c>
      <c r="U101" s="8">
        <f>T101*5.2</f>
        <v>56.57097888000002</v>
      </c>
      <c r="V101" s="8">
        <f>T101*420.9</f>
        <v>4578.9855789600015</v>
      </c>
      <c r="W101" s="8"/>
      <c r="X101" s="36" t="s">
        <v>278</v>
      </c>
      <c r="Y101" s="257">
        <v>234784</v>
      </c>
      <c r="Z101" s="257">
        <v>20.51</v>
      </c>
      <c r="AA101" s="258">
        <f>IF(Y101="NA", 0, (Y101/43560)*12/Z101)</f>
        <v>3.1535245187122323</v>
      </c>
      <c r="AB101" s="742" t="s">
        <v>279</v>
      </c>
      <c r="AC101" s="134" t="str">
        <f t="shared" si="30"/>
        <v>NA</v>
      </c>
      <c r="AD101" s="741">
        <f t="shared" si="29"/>
        <v>0</v>
      </c>
      <c r="AE101" s="135">
        <f>IF(ISNA(VLOOKUP(H101,'Efficiency Lookup'!$B$2:$C$38,2,FALSE)),0,(VLOOKUP(H101,'Efficiency Lookup'!$B$2:$C$38,2,FALSE)))</f>
        <v>0.65</v>
      </c>
      <c r="AF101" s="34">
        <f>T101*AE101</f>
        <v>7.0713723600000025</v>
      </c>
      <c r="AG101" s="134">
        <f>IF(ISNA(VLOOKUP(I101,'Efficiency Lookup'!$D$2:$E$35,2,FALSE)),0,VLOOKUP(I101,'Efficiency Lookup'!$D$2:$E$35,2,FALSE))</f>
        <v>0.45</v>
      </c>
      <c r="AH101" s="133">
        <f>T101*AG101</f>
        <v>4.8955654800000019</v>
      </c>
      <c r="AI101" s="132">
        <f>IF(X101="RR",IF((0.0304*(AA101^5)-0.2619*(AA101^4)+0.9161*(AA101^3)-1.6837*(AA101^2)+1.7072*AA101-0.0091)&gt;0.85,0.85,IF((0.0304*(AA101^5)-0.2619*(AA101^4)+0.9161*(AA101^3)-1.6837*(AA101^2)+1.7072*AA101-0.0091)&lt;0,0,(0.0304*(AA101^5)-0.2619*(AA101^4)+0.9161*(AA101^3)-1.6837*(AA101^2)+1.7072*AA101-0.0091))),IF((0.0239*(AA101^5)-0.2058*(AA101^4)+0.7198*(AA101^3)-1.3229*(AA101^2)+1.3414*AA101-0.0072)&gt;0.65,0.65,IF((0.0239*(AA101^5)-0.2058*(AA101^4)+0.7198*(AA101^3)-1.3229*(AA101^2)+1.3414*AA101-0.0072)&lt;0,0,(0.0239*(AA101^5)-0.2058*(AA101^4)+0.7198*(AA101^3)-1.3229*(AA101^2)+1.3414*AA101-0.0072))))</f>
        <v>0.65</v>
      </c>
      <c r="AJ101" s="133">
        <f>T101*AI101</f>
        <v>7.0713723600000025</v>
      </c>
      <c r="AK101" s="516">
        <f t="shared" si="31"/>
        <v>7.0713723600000025</v>
      </c>
      <c r="AL101" s="34">
        <f>AK101</f>
        <v>7.0713723600000025</v>
      </c>
      <c r="AM101" s="313">
        <f>AL101-W100</f>
        <v>-0.30338137440000157</v>
      </c>
      <c r="AN101" s="288">
        <f>AM101/AL101</f>
        <v>-4.2902757619738961E-2</v>
      </c>
      <c r="AO101" s="138">
        <f>IF(ISNA(VLOOKUP(I101,'Efficiency Lookup'!$D$2:$G$35,3,FALSE)),0,VLOOKUP(I101,'Efficiency Lookup'!$D$2:$G$35,3,FALSE))</f>
        <v>0.2</v>
      </c>
      <c r="AP101" s="133">
        <f>U101*AO101</f>
        <v>11.314195776000005</v>
      </c>
      <c r="AQ101" s="135">
        <f>IF(X101="RR",IF((0.0308*(AA101^5)-0.2562*(AA101^4)+0.8634*(AA101^3)-1.5285*(AA101^2)+1.501*AA101-0.013)&gt;0.7,0.7,IF((0.0308*(AA101^5)-0.2562*(AA101^4)+0.8634*(AA101^3)-1.5285*(AA101^2)+1.501*AA101-0.013)&lt;0,0,(0.0308*(AA101^5)-0.2562*(AA101^4)+0.8634*(AA101^3)-1.5285*(AA101^2)+1.501*AA101-0.013))),IF((0.0152*(AA101^5)-0.131*(AA101^4)+0.4581*(AA101^3)-0.8418*(AA101^2)+0.8536*AA101-0.0046)&gt;0.65,0.65,IF((0.0152*(AA101^5)-0.131*(AA101^4)+0.4581*(AA101^3)-0.8418*(AA101^2)+0.8536*AA101-0.0046)&lt;0,0,(0.0152*(AA101^5)-0.131*(AA101^4)+0.4581*(AA101^3)-0.8418*(AA101^2)+0.8536*AA101-0.0046))))</f>
        <v>0.46716486292519693</v>
      </c>
      <c r="AR101" s="34">
        <f>U101*AQ101</f>
        <v>26.42797359401942</v>
      </c>
      <c r="AS101" s="400">
        <f>IF(AK101=AF101,MAX(AP101,AR101),IF(AK101=AH101,AP101,AR101))</f>
        <v>26.42797359401942</v>
      </c>
      <c r="AT101" s="313">
        <f>AS101</f>
        <v>26.42797359401942</v>
      </c>
      <c r="AU101" s="313">
        <f>AT101*AN101</f>
        <v>-1.1338329454850766</v>
      </c>
      <c r="AV101" s="138">
        <f>IF(ISNA(VLOOKUP(I101,'Efficiency Lookup'!$D$2:$G$35,4,FALSE)),0,VLOOKUP(I101,'Efficiency Lookup'!$D$2:$G$35,4,FALSE))</f>
        <v>0.6</v>
      </c>
      <c r="AW101" s="133">
        <f>$V101*AV101</f>
        <v>2747.3913473760008</v>
      </c>
      <c r="AX101" s="135">
        <f>IF(X101="RR",IF((0.0326*(AA101^5)-0.2806*(AA101^4)+0.9816*(AA101^3)-1.8039*(AA101^2)+1.8292*AA101-0.0098)&gt;0.85,0.85,IF((0.0326*(AA101^5)-0.2806*(AA101^4)+0.9816*(AA101^3)-1.8039*(AA101^2)+1.8292*AA101-0.0098)&lt;0,0,(0.0326*(AA101^5)-0.2806*(AA101^4)+0.9816*(AA101^3)-1.8039*(AA101^2)+1.8292*AA101-0.0098))),IF((0.0304*(AA101^5)-0.2619*(AA101^4)+0.9161*(AA101^3)-1.6837*(AA101^2)+1.7072*AA101-0.0091)&gt;0.8,0.8,IF((0.0304*(AA101^5)-0.2619*(AA101^4)+0.9161*(AA101^3)-1.6837*(AA101^2)+1.7072*AA101-0.0091)&lt;0,0,(0.0304*(AA101^5)-0.2619*(AA101^4)+0.9161*(AA101^3)-1.6837*(AA101^2)+1.7072*AA101-0.0091))))</f>
        <v>0.8</v>
      </c>
      <c r="AY101" s="144">
        <f>$V101*AX101</f>
        <v>3663.1884631680014</v>
      </c>
      <c r="AZ101" s="400">
        <f>IF(AS101=AP101,AW101,AY101)</f>
        <v>3663.1884631680014</v>
      </c>
      <c r="BA101" s="313">
        <f>AZ101</f>
        <v>3663.1884631680014</v>
      </c>
      <c r="BB101" s="401">
        <f>BA101*AN101</f>
        <v>-157.16088675072083</v>
      </c>
      <c r="BC101" s="337">
        <f>AM101</f>
        <v>-0.30338137440000157</v>
      </c>
      <c r="BD101" s="337">
        <f>AU101</f>
        <v>-1.1338329454850766</v>
      </c>
      <c r="BE101" s="338">
        <f>BB101</f>
        <v>-157.16088675072083</v>
      </c>
      <c r="BF101" s="14"/>
      <c r="BG101" t="s">
        <v>391</v>
      </c>
    </row>
    <row r="102" spans="1:59" s="268" customFormat="1" ht="18.600000000000001" customHeight="1" x14ac:dyDescent="0.25">
      <c r="A102" s="271"/>
      <c r="B102" s="282"/>
      <c r="C102" s="282"/>
      <c r="D102" s="282"/>
      <c r="E102" s="270"/>
      <c r="F102" s="270"/>
      <c r="G102" s="270"/>
      <c r="H102" s="263"/>
      <c r="I102" s="263"/>
      <c r="J102" s="270"/>
      <c r="K102" s="271"/>
      <c r="L102" s="271"/>
      <c r="M102" s="271"/>
      <c r="N102" s="272"/>
      <c r="O102" s="273"/>
      <c r="P102" s="273"/>
      <c r="Q102" s="264"/>
      <c r="R102" s="264"/>
      <c r="S102" s="264"/>
      <c r="T102" s="264"/>
      <c r="U102" s="264"/>
      <c r="V102" s="264"/>
      <c r="W102" s="264"/>
      <c r="X102" s="266"/>
      <c r="Y102" s="265"/>
      <c r="Z102" s="265"/>
      <c r="AA102" s="264"/>
      <c r="AB102" s="743" t="s">
        <v>297</v>
      </c>
      <c r="AC102" s="751" t="str">
        <f t="shared" si="30"/>
        <v/>
      </c>
      <c r="AD102" s="303" t="str">
        <f t="shared" si="29"/>
        <v/>
      </c>
      <c r="AE102" s="274"/>
      <c r="AF102" s="266"/>
      <c r="AG102" s="303"/>
      <c r="AH102" s="274"/>
      <c r="AI102" s="303"/>
      <c r="AJ102" s="274"/>
      <c r="AK102" s="584" t="str">
        <f t="shared" si="31"/>
        <v/>
      </c>
      <c r="AO102" s="329"/>
      <c r="AP102" s="303"/>
      <c r="AQ102" s="303"/>
      <c r="AR102" s="303"/>
      <c r="AS102" s="326"/>
      <c r="AU102" s="316"/>
      <c r="AV102" s="329"/>
      <c r="AW102" s="303"/>
      <c r="AX102" s="303"/>
      <c r="AY102" s="285"/>
      <c r="AZ102" s="280"/>
      <c r="BA102" s="264"/>
      <c r="BB102" s="331"/>
      <c r="BE102" s="331"/>
      <c r="BF102" s="277"/>
    </row>
    <row r="103" spans="1:59" s="349" customFormat="1" ht="18.600000000000001" customHeight="1" x14ac:dyDescent="0.25">
      <c r="A103" s="340" t="s">
        <v>392</v>
      </c>
      <c r="B103" s="340"/>
      <c r="C103" s="340"/>
      <c r="D103" s="1110" t="s">
        <v>271</v>
      </c>
      <c r="E103" s="1125"/>
      <c r="F103" s="1038"/>
      <c r="G103" s="1038"/>
      <c r="H103" s="341"/>
      <c r="I103" s="341"/>
      <c r="J103" s="1038"/>
      <c r="K103" s="340">
        <v>3.41</v>
      </c>
      <c r="L103" s="340"/>
      <c r="M103" s="340">
        <v>0</v>
      </c>
      <c r="N103" s="342">
        <v>2.5099999999999998</v>
      </c>
      <c r="O103" s="343">
        <f>+M103/K103</f>
        <v>0</v>
      </c>
      <c r="P103" s="343">
        <f>+N103/K103</f>
        <v>0.73607038123167146</v>
      </c>
      <c r="Q103" s="344">
        <f>43*0.9*(0.05+0.9*0.16)*0.26*$K103*2.72/12</f>
        <v>1.5087875088000002</v>
      </c>
      <c r="R103" s="366">
        <f>43*0.9*(0.05+0.9*O103)*0.26*$K103*2.72/12</f>
        <v>0.38886276000000009</v>
      </c>
      <c r="S103" s="344">
        <f>IF(J103="R",R103,Q103)</f>
        <v>1.5087875088000002</v>
      </c>
      <c r="T103" s="344">
        <f>43*0.9*(0.05+0.9*P103)*0.26*$K103*2.72/12</f>
        <v>5.5410092400000002</v>
      </c>
      <c r="U103" s="344">
        <f>T103*5.2</f>
        <v>28.813248048000002</v>
      </c>
      <c r="V103" s="344">
        <f>T103*420.9</f>
        <v>2332.2107891159999</v>
      </c>
      <c r="W103" s="344">
        <f>IF(P103 &lt; 16%, 0, IF(K103 &lt; 1, 0, T103-S103))</f>
        <v>4.0322217311999999</v>
      </c>
      <c r="X103" s="348"/>
      <c r="Y103" s="345"/>
      <c r="Z103" s="345"/>
      <c r="AA103" s="344"/>
      <c r="AB103" s="746" t="s">
        <v>297</v>
      </c>
      <c r="AC103" s="359" t="str">
        <f t="shared" si="30"/>
        <v/>
      </c>
      <c r="AD103" s="347" t="str">
        <f t="shared" si="29"/>
        <v/>
      </c>
      <c r="AE103" s="347"/>
      <c r="AF103" s="348"/>
      <c r="AG103" s="366"/>
      <c r="AH103" s="347"/>
      <c r="AI103" s="366"/>
      <c r="AJ103" s="347"/>
      <c r="AK103" s="586" t="str">
        <f t="shared" si="31"/>
        <v/>
      </c>
      <c r="AO103" s="600"/>
      <c r="AP103" s="366"/>
      <c r="AQ103" s="366"/>
      <c r="AR103" s="366"/>
      <c r="AS103" s="402"/>
      <c r="AT103" s="595"/>
      <c r="AU103" s="405"/>
      <c r="AV103" s="600"/>
      <c r="AW103" s="366"/>
      <c r="AX103" s="366"/>
      <c r="AY103" s="603"/>
      <c r="AZ103" s="363"/>
      <c r="BA103" s="344"/>
      <c r="BB103" s="352"/>
      <c r="BE103" s="352"/>
      <c r="BF103" s="1035"/>
      <c r="BG103" s="349" t="s">
        <v>300</v>
      </c>
    </row>
    <row r="104" spans="1:59" s="349" customFormat="1" ht="18.600000000000001" customHeight="1" x14ac:dyDescent="0.25">
      <c r="A104" s="367" t="s">
        <v>393</v>
      </c>
      <c r="B104" s="340">
        <v>-78.439154000000002</v>
      </c>
      <c r="C104" s="340">
        <v>38.130091999999998</v>
      </c>
      <c r="D104" s="378">
        <v>1</v>
      </c>
      <c r="E104" s="354" t="s">
        <v>274</v>
      </c>
      <c r="F104" s="1014" t="s">
        <v>275</v>
      </c>
      <c r="G104" s="1014"/>
      <c r="H104" s="341" t="s">
        <v>276</v>
      </c>
      <c r="I104" s="341" t="s">
        <v>277</v>
      </c>
      <c r="J104" s="1014"/>
      <c r="K104" s="340">
        <v>3.41</v>
      </c>
      <c r="L104" s="340"/>
      <c r="M104" s="340">
        <v>0</v>
      </c>
      <c r="N104" s="342">
        <v>2.5099999999999998</v>
      </c>
      <c r="O104" s="343">
        <f>+M104/K104</f>
        <v>0</v>
      </c>
      <c r="P104" s="343">
        <f>+N104/K104</f>
        <v>0.73607038123167146</v>
      </c>
      <c r="Q104" s="344"/>
      <c r="R104" s="344"/>
      <c r="S104" s="344"/>
      <c r="T104" s="344">
        <f>IF(J103="TT",IF(F103="u/g detention",(43*0.9*(0.05+0.9*P104)*0.26*$K104*2.72/12)-AK102,(43*0.9*(0.05+0.9*P104)*0.26*$K104*2.72/12)-AK103),43*0.9*(0.05+0.9*P104)*0.26*$K104*2.72/12)</f>
        <v>5.5410092400000002</v>
      </c>
      <c r="U104" s="344">
        <f>T104*5.2</f>
        <v>28.813248048000002</v>
      </c>
      <c r="V104" s="344">
        <f>T104*420.9</f>
        <v>2332.2107891159999</v>
      </c>
      <c r="W104" s="344"/>
      <c r="X104" s="368" t="s">
        <v>278</v>
      </c>
      <c r="Y104" s="345">
        <v>162527</v>
      </c>
      <c r="Z104" s="345">
        <v>21.5</v>
      </c>
      <c r="AA104" s="369">
        <f>IF(Y104="NA", 0, (Y104/43560)*12/Z104)</f>
        <v>2.0824780575309116</v>
      </c>
      <c r="AB104" s="745" t="s">
        <v>296</v>
      </c>
      <c r="AC104" s="359" t="str">
        <f t="shared" si="30"/>
        <v>NA</v>
      </c>
      <c r="AD104" s="753">
        <f t="shared" si="29"/>
        <v>0</v>
      </c>
      <c r="AE104" s="356">
        <f>IF(ISNA(VLOOKUP(H104,'Efficiency Lookup'!$B$2:$C$38,2,FALSE)),0,(VLOOKUP(H104,'Efficiency Lookup'!$B$2:$C$38,2,FALSE)))</f>
        <v>0.65</v>
      </c>
      <c r="AF104" s="348">
        <f>T104*AE104</f>
        <v>3.6016560060000002</v>
      </c>
      <c r="AG104" s="359">
        <f>IF(ISNA(VLOOKUP(I104,'Efficiency Lookup'!$D$2:$E$35,2,FALSE)),0,VLOOKUP(I104,'Efficiency Lookup'!$D$2:$E$35,2,FALSE))</f>
        <v>0.45</v>
      </c>
      <c r="AH104" s="347">
        <f>T104*AG104</f>
        <v>2.493454158</v>
      </c>
      <c r="AI104" s="370">
        <f>IF(X104="RR",IF((0.0304*(AA104^5)-0.2619*(AA104^4)+0.9161*(AA104^3)-1.6837*(AA104^2)+1.7072*AA104-0.0091)&gt;0.85,0.85,IF((0.0304*(AA104^5)-0.2619*(AA104^4)+0.9161*(AA104^3)-1.6837*(AA104^2)+1.7072*AA104-0.0091)&lt;0,0,(0.0304*(AA104^5)-0.2619*(AA104^4)+0.9161*(AA104^3)-1.6837*(AA104^2)+1.7072*AA104-0.0091))),IF((0.0239*(AA104^5)-0.2058*(AA104^4)+0.7198*(AA104^3)-1.3229*(AA104^2)+1.3414*AA104-0.0072)&gt;0.65,0.65,IF((0.0239*(AA104^5)-0.2058*(AA104^4)+0.7198*(AA104^3)-1.3229*(AA104^2)+1.3414*AA104-0.0072)&lt;0,0,(0.0239*(AA104^5)-0.2058*(AA104^4)+0.7198*(AA104^3)-1.3229*(AA104^2)+1.3414*AA104-0.0072))))</f>
        <v>0.61534339784200942</v>
      </c>
      <c r="AJ104" s="347">
        <f>T104*AI104</f>
        <v>3.4096234532155703</v>
      </c>
      <c r="AK104" s="591">
        <f t="shared" si="31"/>
        <v>3.6016560060000002</v>
      </c>
      <c r="AL104" s="348">
        <f>AK104</f>
        <v>3.6016560060000002</v>
      </c>
      <c r="AM104" s="1024">
        <f>AL104-W103</f>
        <v>-0.43056572519999969</v>
      </c>
      <c r="AN104" s="1025">
        <f>AM104/AL104</f>
        <v>-0.11954659869868751</v>
      </c>
      <c r="AO104" s="371">
        <f>IF(ISNA(VLOOKUP(I104,'Efficiency Lookup'!$D$2:$G$35,3,FALSE)),0,VLOOKUP(I104,'Efficiency Lookup'!$D$2:$G$35,3,FALSE))</f>
        <v>0.2</v>
      </c>
      <c r="AP104" s="347">
        <f>U104*AO104</f>
        <v>5.7626496096000004</v>
      </c>
      <c r="AQ104" s="356">
        <f>IF(X104="RR",IF((0.0308*(AA104^5)-0.2562*(AA104^4)+0.8634*(AA104^3)-1.5285*(AA104^2)+1.501*AA104-0.013)&gt;0.7,0.7,IF((0.0308*(AA104^5)-0.2562*(AA104^4)+0.8634*(AA104^3)-1.5285*(AA104^2)+1.501*AA104-0.013)&lt;0,0,(0.0308*(AA104^5)-0.2562*(AA104^4)+0.8634*(AA104^3)-1.5285*(AA104^2)+1.501*AA104-0.013))),IF((0.0152*(AA104^5)-0.131*(AA104^4)+0.4581*(AA104^3)-0.8418*(AA104^2)+0.8536*AA104-0.0046)&gt;0.65,0.65,IF((0.0152*(AA104^5)-0.131*(AA104^4)+0.4581*(AA104^3)-0.8418*(AA104^2)+0.8536*AA104-0.0046)&lt;0,0,(0.0152*(AA104^5)-0.131*(AA104^4)+0.4581*(AA104^3)-0.8418*(AA104^2)+0.8536*AA104-0.0046))))</f>
        <v>0.39109380261292265</v>
      </c>
      <c r="AR104" s="348">
        <f>U104*AQ104</f>
        <v>11.268682744721692</v>
      </c>
      <c r="AS104" s="402">
        <f>IF(AK104=AF104,MAX(AP104,AR104),IF(AK104=AH104,AP104,AR104))</f>
        <v>11.268682744721692</v>
      </c>
      <c r="AT104" s="357">
        <f>AS104</f>
        <v>11.268682744721692</v>
      </c>
      <c r="AU104" s="357">
        <f>AT104*AN104</f>
        <v>-1.3471326939460688</v>
      </c>
      <c r="AV104" s="371">
        <f>IF(ISNA(VLOOKUP(I104,'Efficiency Lookup'!$D$2:$G$35,4,FALSE)),0,VLOOKUP(I104,'Efficiency Lookup'!$D$2:$G$35,4,FALSE))</f>
        <v>0.6</v>
      </c>
      <c r="AW104" s="347">
        <f>$V104*AV104</f>
        <v>1399.3264734695999</v>
      </c>
      <c r="AX104" s="356">
        <f>IF(X104="RR",IF((0.0326*(AA104^5)-0.2806*(AA104^4)+0.9816*(AA104^3)-1.8039*(AA104^2)+1.8292*AA104-0.0098)&gt;0.85,0.85,IF((0.0326*(AA104^5)-0.2806*(AA104^4)+0.9816*(AA104^3)-1.8039*(AA104^2)+1.8292*AA104-0.0098)&lt;0,0,(0.0326*(AA104^5)-0.2806*(AA104^4)+0.9816*(AA104^3)-1.8039*(AA104^2)+1.8292*AA104-0.0098))),IF((0.0304*(AA104^5)-0.2619*(AA104^4)+0.9161*(AA104^3)-1.6837*(AA104^2)+1.7072*AA104-0.0091)&gt;0.8,0.8,IF((0.0304*(AA104^5)-0.2619*(AA104^4)+0.9161*(AA104^3)-1.6837*(AA104^2)+1.7072*AA104-0.0091)&lt;0,0,(0.0304*(AA104^5)-0.2619*(AA104^4)+0.9161*(AA104^3)-1.6837*(AA104^2)+1.7072*AA104-0.0091))))</f>
        <v>0.78283153196382005</v>
      </c>
      <c r="AY104" s="351">
        <f>$V104*AX104</f>
        <v>1825.728144906228</v>
      </c>
      <c r="AZ104" s="402">
        <f>IF(AK104=AJ104,AY104,IF(AK104=AH104,AW104,IF(AP104=AR104,MAX(AW104,AY104),IF(AS104=AP104,AW104,AY104))))</f>
        <v>1825.728144906228</v>
      </c>
      <c r="BA104" s="357">
        <f>AZ104</f>
        <v>1825.728144906228</v>
      </c>
      <c r="BB104" s="403">
        <f>BA104*AN104</f>
        <v>-218.25958987200403</v>
      </c>
      <c r="BC104" s="381">
        <f>AM104</f>
        <v>-0.43056572519999969</v>
      </c>
      <c r="BD104" s="382">
        <f>AU104</f>
        <v>-1.3471326939460688</v>
      </c>
      <c r="BE104" s="383">
        <f>BB104</f>
        <v>-218.25958987200403</v>
      </c>
      <c r="BF104" s="1035"/>
      <c r="BG104" s="349" t="s">
        <v>287</v>
      </c>
    </row>
    <row r="105" spans="1:59" s="268" customFormat="1" ht="18.600000000000001" customHeight="1" x14ac:dyDescent="0.25">
      <c r="B105" s="271"/>
      <c r="C105" s="271"/>
      <c r="G105" s="277"/>
      <c r="H105" s="263"/>
      <c r="I105" s="263"/>
      <c r="Q105" s="264"/>
      <c r="S105" s="264"/>
      <c r="T105" s="264"/>
      <c r="U105" s="264"/>
      <c r="V105" s="264"/>
      <c r="W105" s="264"/>
      <c r="X105" s="266"/>
      <c r="Y105" s="265"/>
      <c r="Z105" s="265"/>
      <c r="AA105" s="321"/>
      <c r="AB105" s="747" t="s">
        <v>297</v>
      </c>
      <c r="AC105" s="322" t="str">
        <f t="shared" si="30"/>
        <v/>
      </c>
      <c r="AD105" s="754" t="str">
        <f t="shared" si="29"/>
        <v/>
      </c>
      <c r="AE105" s="274"/>
      <c r="AF105" s="266"/>
      <c r="AG105" s="322"/>
      <c r="AH105" s="274"/>
      <c r="AI105" s="320"/>
      <c r="AJ105" s="274"/>
      <c r="AK105" s="587" t="str">
        <f t="shared" si="31"/>
        <v/>
      </c>
      <c r="AL105" s="379"/>
      <c r="AM105" s="379"/>
      <c r="AN105" s="380"/>
      <c r="AO105" s="325"/>
      <c r="AP105" s="274"/>
      <c r="AQ105" s="274"/>
      <c r="AR105" s="274"/>
      <c r="AS105" s="326"/>
      <c r="AV105" s="325"/>
      <c r="AW105" s="274"/>
      <c r="AX105" s="274"/>
      <c r="AY105" s="275"/>
      <c r="AZ105" s="326"/>
      <c r="BB105" s="331"/>
      <c r="BE105" s="331"/>
    </row>
    <row r="106" spans="1:59" ht="18.600000000000001" customHeight="1" x14ac:dyDescent="0.25">
      <c r="A106" s="11" t="s">
        <v>394</v>
      </c>
      <c r="B106" s="11"/>
      <c r="C106" s="11"/>
      <c r="D106" s="1111" t="s">
        <v>271</v>
      </c>
      <c r="E106" s="1065"/>
      <c r="F106" s="1019"/>
      <c r="G106" s="1019"/>
      <c r="H106" s="1021"/>
      <c r="I106" s="1021"/>
      <c r="K106" s="11">
        <v>11.2</v>
      </c>
      <c r="L106" s="11"/>
      <c r="M106" s="11">
        <v>0</v>
      </c>
      <c r="N106" s="9">
        <f>1.34+2.1</f>
        <v>3.4400000000000004</v>
      </c>
      <c r="O106" s="25">
        <f>+M106/K106</f>
        <v>0</v>
      </c>
      <c r="P106" s="25">
        <f>+N106/K106</f>
        <v>0.30714285714285722</v>
      </c>
      <c r="Q106" s="8">
        <f>43*0.9*(0.05+0.9*0.16)*0.26*$K106*2.72/12</f>
        <v>4.9555484160000001</v>
      </c>
      <c r="R106" s="39">
        <f>43*0.9*(0.05+0.9*O106)*0.26*$K106*2.72/12</f>
        <v>1.2772032000000002</v>
      </c>
      <c r="S106" s="8">
        <f>IF(J106="R",R106,Q106)</f>
        <v>4.9555484160000001</v>
      </c>
      <c r="T106" s="8">
        <f>43*0.9*(0.05+0.9*P106)*0.26*$K106*2.72/12</f>
        <v>8.3383123200000018</v>
      </c>
      <c r="U106" s="8">
        <f>T106*5.2</f>
        <v>43.35922406400001</v>
      </c>
      <c r="V106" s="8">
        <f>T106*420.9</f>
        <v>3509.5956554880004</v>
      </c>
      <c r="W106" s="8">
        <f>IF(P106 &lt; 16%, 0, IF(K106 &lt; 1, 0, T106-S106))</f>
        <v>3.3827639040000017</v>
      </c>
      <c r="X106" s="8"/>
      <c r="Y106" s="257"/>
      <c r="Z106" s="257"/>
      <c r="AA106" s="8"/>
      <c r="AB106" s="744" t="s">
        <v>297</v>
      </c>
      <c r="AC106" s="750" t="str">
        <f t="shared" si="30"/>
        <v/>
      </c>
      <c r="AD106" s="39" t="str">
        <f t="shared" si="29"/>
        <v/>
      </c>
      <c r="AE106" s="133"/>
      <c r="AF106" s="34"/>
      <c r="AG106" s="39"/>
      <c r="AH106" s="133"/>
      <c r="AI106" s="39"/>
      <c r="AJ106" s="133"/>
      <c r="AK106" s="327" t="str">
        <f t="shared" si="31"/>
        <v/>
      </c>
      <c r="AO106" s="589"/>
      <c r="AP106" s="39"/>
      <c r="AQ106" s="39"/>
      <c r="AR106" s="39"/>
      <c r="AS106" s="306"/>
      <c r="AU106" s="315"/>
      <c r="AV106" s="589"/>
      <c r="AW106" s="39"/>
      <c r="AX106" s="39"/>
      <c r="AY106" s="136"/>
      <c r="AZ106" s="146"/>
      <c r="BA106" s="8"/>
      <c r="BB106" s="143"/>
      <c r="BE106" s="143"/>
      <c r="BF106" s="1115" t="s">
        <v>395</v>
      </c>
      <c r="BG106" t="s">
        <v>273</v>
      </c>
    </row>
    <row r="107" spans="1:59" ht="18.600000000000001" customHeight="1" x14ac:dyDescent="0.25">
      <c r="A107" s="11"/>
      <c r="B107" s="11">
        <v>-78.534193000000002</v>
      </c>
      <c r="C107" s="11">
        <v>38.054496999999998</v>
      </c>
      <c r="D107" s="26" t="s">
        <v>396</v>
      </c>
      <c r="E107" s="1048" t="s">
        <v>289</v>
      </c>
      <c r="F107" s="1048" t="s">
        <v>397</v>
      </c>
      <c r="G107" s="1021" t="s">
        <v>291</v>
      </c>
      <c r="H107" s="1021"/>
      <c r="I107" s="1021"/>
      <c r="J107" s="1015" t="s">
        <v>292</v>
      </c>
      <c r="K107" s="11">
        <f>0.35+0.89</f>
        <v>1.24</v>
      </c>
      <c r="L107" s="11"/>
      <c r="M107" s="11">
        <v>0.2</v>
      </c>
      <c r="N107" s="11">
        <f>0.22+0.19+0.03+0.2</f>
        <v>0.64000000000000012</v>
      </c>
      <c r="O107" s="25">
        <f>+M107/K107</f>
        <v>0.16129032258064518</v>
      </c>
      <c r="P107" s="25">
        <f>+N107/K107</f>
        <v>0.51612903225806461</v>
      </c>
      <c r="Q107" s="8"/>
      <c r="R107" s="8"/>
      <c r="S107" s="8"/>
      <c r="T107" s="8">
        <f>IF(J106="TT",IF(F106="u/g detention",(43*0.9*(0.05+0.9*P107)*0.26*$K107*2.72/12)-AK105,(43*0.9*(0.05+0.9*P107)*0.26*$K107*2.72/12)-AK106),43*0.9*(0.05+0.9*P107)*0.26*$K107*2.72/12)</f>
        <v>1.4550993600000004</v>
      </c>
      <c r="U107" s="8">
        <f>T107*5.2</f>
        <v>7.5665166720000023</v>
      </c>
      <c r="V107" s="8">
        <f>T107*420.9</f>
        <v>612.45132062400012</v>
      </c>
      <c r="W107" s="8"/>
      <c r="X107" s="34" t="s">
        <v>278</v>
      </c>
      <c r="Y107" s="257">
        <v>205.20000000000002</v>
      </c>
      <c r="Z107" s="257">
        <v>1.27</v>
      </c>
      <c r="AA107" s="258">
        <f>IF(Y107="NA", 0, (Y107/43560)*12/Z107)</f>
        <v>4.4510965054987965E-2</v>
      </c>
      <c r="AB107" s="742" t="s">
        <v>296</v>
      </c>
      <c r="AC107" s="288">
        <f t="shared" si="30"/>
        <v>0.5</v>
      </c>
      <c r="AD107" s="742">
        <f t="shared" si="29"/>
        <v>0.7275496800000002</v>
      </c>
      <c r="AE107" s="134">
        <f>IF(ISNA(VLOOKUP(H107,'Efficiency Lookup'!$B$2:$C$38,2,FALSE)),0,(VLOOKUP(H107,'Efficiency Lookup'!$B$2:$C$38,2,FALSE)))</f>
        <v>0</v>
      </c>
      <c r="AF107" s="133">
        <f>T107*AE107</f>
        <v>0</v>
      </c>
      <c r="AG107" s="134">
        <f>IF(ISNA(VLOOKUP(I107,'Efficiency Lookup'!$D$2:$E$35,2,FALSE)),0,VLOOKUP(I107,'Efficiency Lookup'!$D$2:$E$35,2,FALSE))</f>
        <v>0</v>
      </c>
      <c r="AH107" s="133">
        <f>T107*AG107</f>
        <v>0</v>
      </c>
      <c r="AI107" s="132">
        <f>IF(X107="RR",IF((0.0304*(AA107^5)-0.2619*(AA107^4)+0.9161*(AA107^3)-1.6837*(AA107^2)+1.7072*AA107-0.0091)&gt;0.85,0.85,IF((0.0304*(AA107^5)-0.2619*(AA107^4)+0.9161*(AA107^3)-1.6837*(AA107^2)+1.7072*AA107-0.0091)&lt;0,0,(0.0304*(AA107^5)-0.2619*(AA107^4)+0.9161*(AA107^3)-1.6837*(AA107^2)+1.7072*AA107-0.0091))),IF((0.0239*(AA107^5)-0.2058*(AA107^4)+0.7198*(AA107^3)-1.3229*(AA107^2)+1.3414*AA107-0.0072)&gt;0.65,0.65,IF((0.0239*(AA107^5)-0.2058*(AA107^4)+0.7198*(AA107^3)-1.3229*(AA107^2)+1.3414*AA107-0.0072)&lt;0,0,(0.0239*(AA107^5)-0.2058*(AA107^4)+0.7198*(AA107^3)-1.3229*(AA107^2)+1.3414*AA107-0.0072))))</f>
        <v>4.9948717479481208E-2</v>
      </c>
      <c r="AJ107" s="133">
        <f>T107*AI107</f>
        <v>7.2680346837213944E-2</v>
      </c>
      <c r="AK107" s="516">
        <f t="shared" si="31"/>
        <v>0.7275496800000002</v>
      </c>
      <c r="AL107" s="1100">
        <f>SUM(AK107:AK109)</f>
        <v>6.5904255300000036</v>
      </c>
      <c r="AM107" s="1100">
        <f>AL107-W106</f>
        <v>3.2076616260000019</v>
      </c>
      <c r="AN107" s="1112">
        <f>AM107/AL107</f>
        <v>0.48671540424795606</v>
      </c>
      <c r="AO107" s="138">
        <f>IF(ISNA(VLOOKUP(I107,'Efficiency Lookup'!$D$2:$G$35,3,FALSE)),0,VLOOKUP(I107,'Efficiency Lookup'!$D$2:$G$35,3,FALSE))</f>
        <v>0</v>
      </c>
      <c r="AP107" s="133">
        <f>U107*AO107</f>
        <v>0</v>
      </c>
      <c r="AQ107" s="135">
        <f>IF(X107="RR",IF((0.0308*(AA107^5)-0.2562*(AA107^4)+0.8634*(AA107^3)-1.5285*(AA107^2)+1.501*AA107-0.013)&gt;0.7,0.7,IF((0.0308*(AA107^5)-0.2562*(AA107^4)+0.8634*(AA107^3)-1.5285*(AA107^2)+1.501*AA107-0.013)&lt;0,0,(0.0308*(AA107^5)-0.2562*(AA107^4)+0.8634*(AA107^3)-1.5285*(AA107^2)+1.501*AA107-0.013))),IF((0.0152*(AA107^5)-0.131*(AA107^4)+0.4581*(AA107^3)-0.8418*(AA107^2)+0.8536*AA107-0.0046)&gt;0.65,0.65,IF((0.0152*(AA107^5)-0.131*(AA107^4)+0.4581*(AA107^3)-0.8418*(AA107^2)+0.8536*AA107-0.0046)&lt;0,0,(0.0152*(AA107^5)-0.131*(AA107^4)+0.4581*(AA107^3)-0.8418*(AA107^2)+0.8536*AA107-0.0046))))</f>
        <v>3.1766650298357194E-2</v>
      </c>
      <c r="AR107" s="34">
        <f>U107*AQ107</f>
        <v>0.24036288909611356</v>
      </c>
      <c r="AS107" s="400">
        <f>IF(AK107=AF107,MAX(AP107,AR107),IF(AK107=AH107,AP107,AR107))</f>
        <v>0.24036288909611356</v>
      </c>
      <c r="AT107" s="1100">
        <f>SUM(AS107:AS109)</f>
        <v>28.694853681096127</v>
      </c>
      <c r="AU107" s="1104">
        <f>AT107*AN107</f>
        <v>13.966227309230652</v>
      </c>
      <c r="AV107" s="138">
        <f>IF(ISNA(VLOOKUP(I107,'Efficiency Lookup'!$D$2:$G$35,4,FALSE)),0,VLOOKUP(I107,'Efficiency Lookup'!$D$2:$G$35,4,FALSE))</f>
        <v>0</v>
      </c>
      <c r="AW107" s="133">
        <f>$V107*AV107</f>
        <v>0</v>
      </c>
      <c r="AX107" s="135">
        <f>IF(X107="RR",IF((0.0326*(AA107^5)-0.2806*(AA107^4)+0.9816*(AA107^3)-1.8039*(AA107^2)+1.8292*AA107-0.0098)&gt;0.85,0.85,IF((0.0326*(AA107^5)-0.2806*(AA107^4)+0.9816*(AA107^3)-1.8039*(AA107^2)+1.8292*AA107-0.0098)&lt;0,0,(0.0326*(AA107^5)-0.2806*(AA107^4)+0.9816*(AA107^3)-1.8039*(AA107^2)+1.8292*AA107-0.0098))),IF((0.0304*(AA107^5)-0.2619*(AA107^4)+0.9161*(AA107^3)-1.6837*(AA107^2)+1.7072*AA107-0.0091)&gt;0.8,0.8,IF((0.0304*(AA107^5)-0.2619*(AA107^4)+0.9161*(AA107^3)-1.6837*(AA107^2)+1.7072*AA107-0.0091)&lt;0,0,(0.0304*(AA107^5)-0.2619*(AA107^4)+0.9161*(AA107^3)-1.6837*(AA107^2)+1.7072*AA107-0.0091))))</f>
        <v>6.363309404801086E-2</v>
      </c>
      <c r="AY107" s="144">
        <f>$V107*AX107</f>
        <v>38.972172485095456</v>
      </c>
      <c r="AZ107" s="400">
        <f>IF(AS107=AP107,AW107,AY107)</f>
        <v>38.972172485095456</v>
      </c>
      <c r="BA107" s="1100">
        <f>SUM(AZ107:AZ109)</f>
        <v>2671.168914101097</v>
      </c>
      <c r="BB107" s="1104">
        <f>BA107*AN107</f>
        <v>1300.0990578412893</v>
      </c>
      <c r="BC107" s="1105">
        <f>AM107</f>
        <v>3.2076616260000019</v>
      </c>
      <c r="BD107" s="1106">
        <f>AU107</f>
        <v>13.966227309230652</v>
      </c>
      <c r="BE107" s="1107">
        <f>BB107</f>
        <v>1300.0990578412893</v>
      </c>
      <c r="BF107" s="1115"/>
      <c r="BG107" t="s">
        <v>287</v>
      </c>
    </row>
    <row r="108" spans="1:59" ht="18.600000000000001" customHeight="1" x14ac:dyDescent="0.25">
      <c r="A108" s="11"/>
      <c r="B108" s="11">
        <v>-78.534379000000001</v>
      </c>
      <c r="C108" s="11">
        <v>38.054569999999998</v>
      </c>
      <c r="D108" s="26">
        <v>392.07</v>
      </c>
      <c r="E108" s="1048" t="s">
        <v>281</v>
      </c>
      <c r="F108" s="1048" t="s">
        <v>398</v>
      </c>
      <c r="G108" s="1048"/>
      <c r="H108" s="1021" t="s">
        <v>343</v>
      </c>
      <c r="I108" s="1021" t="s">
        <v>315</v>
      </c>
      <c r="J108" s="1015" t="s">
        <v>292</v>
      </c>
      <c r="K108" s="11">
        <v>12.83</v>
      </c>
      <c r="L108" s="11"/>
      <c r="M108" s="11">
        <f>0.65</f>
        <v>0.65</v>
      </c>
      <c r="N108" s="9">
        <f>0.65+N106-N107</f>
        <v>3.4500000000000006</v>
      </c>
      <c r="O108" s="25">
        <f>+M108/K108</f>
        <v>5.0662509742790338E-2</v>
      </c>
      <c r="P108" s="25">
        <f>+N108/K108</f>
        <v>0.26890101325019489</v>
      </c>
      <c r="Q108" s="8"/>
      <c r="R108" s="8"/>
      <c r="S108" s="8"/>
      <c r="T108" s="8">
        <f>IF(J107="TT",IF(F107="u/g detention",(43*0.9*(0.05+0.9*P108)*0.26*$K108*2.72/12)-AK106,(43*0.9*(0.05+0.9*P108)*0.26*$K108*2.72/12)-AK107),43*0.9*(0.05+0.9*P108)*0.26*$K108*2.72/12)</f>
        <v>7.8171678000000044</v>
      </c>
      <c r="U108" s="8">
        <f>T108*5.2</f>
        <v>40.649272560000021</v>
      </c>
      <c r="V108" s="8">
        <f>T108*420.9</f>
        <v>3290.2459270200015</v>
      </c>
      <c r="W108" s="8"/>
      <c r="X108" s="34" t="s">
        <v>285</v>
      </c>
      <c r="Y108" s="257">
        <v>7210</v>
      </c>
      <c r="Z108" s="257">
        <f>N108</f>
        <v>3.4500000000000006</v>
      </c>
      <c r="AA108" s="258">
        <f>IF(Y108="NA", 0, (Y108/43560)*12/Z108)</f>
        <v>0.57571765081646498</v>
      </c>
      <c r="AB108" s="742" t="s">
        <v>296</v>
      </c>
      <c r="AC108" s="134" t="str">
        <f t="shared" si="30"/>
        <v>NA</v>
      </c>
      <c r="AD108" s="741">
        <f t="shared" si="29"/>
        <v>0</v>
      </c>
      <c r="AE108" s="134">
        <f>IF(ISNA(VLOOKUP(H108,'Efficiency Lookup'!$B$2:$C$38,2,FALSE)),0,(VLOOKUP(H108,'Efficiency Lookup'!$B$2:$C$38,2,FALSE)))</f>
        <v>0.5</v>
      </c>
      <c r="AF108" s="133">
        <f>T108*AE108</f>
        <v>3.9085839000000022</v>
      </c>
      <c r="AG108" s="288">
        <f>IF(ISNA(VLOOKUP(I108,'Efficiency Lookup'!$D$2:$E$35,2,FALSE)),0,VLOOKUP(I108,'Efficiency Lookup'!$D$2:$E$35,2,FALSE))</f>
        <v>0.75</v>
      </c>
      <c r="AH108" s="313">
        <f>T108*AG108</f>
        <v>5.8628758500000036</v>
      </c>
      <c r="AI108" s="132">
        <f>IF(X108="RR",IF((0.0304*(AA108^5)-0.2619*(AA108^4)+0.9161*(AA108^3)-1.6837*(AA108^2)+1.7072*AA108-0.0091)&gt;0.85,0.85,IF((0.0304*(AA108^5)-0.2619*(AA108^4)+0.9161*(AA108^3)-1.6837*(AA108^2)+1.7072*AA108-0.0091)&lt;0,0,(0.0304*(AA108^5)-0.2619*(AA108^4)+0.9161*(AA108^3)-1.6837*(AA108^2)+1.7072*AA108-0.0091))),IF((0.0239*(AA108^5)-0.2058*(AA108^4)+0.7198*(AA108^3)-1.3229*(AA108^2)+1.3414*AA108-0.0072)&gt;0.65,0.65,IF((0.0239*(AA108^5)-0.2058*(AA108^4)+0.7198*(AA108^3)-1.3229*(AA108^2)+1.3414*AA108-0.0072)&lt;0,0,(0.0239*(AA108^5)-0.2058*(AA108^4)+0.7198*(AA108^3)-1.3229*(AA108^2)+1.3414*AA108-0.0072))))</f>
        <v>0.56366405284152432</v>
      </c>
      <c r="AJ108" s="133">
        <f>T108*AI108</f>
        <v>4.4062564838902647</v>
      </c>
      <c r="AK108" s="516">
        <f t="shared" si="31"/>
        <v>5.8628758500000036</v>
      </c>
      <c r="AL108" s="1100"/>
      <c r="AM108" s="1100"/>
      <c r="AN108" s="1112"/>
      <c r="AO108" s="496">
        <f>IF(ISNA(VLOOKUP(I108,'Efficiency Lookup'!$D$2:$G$35,3,FALSE)),0,VLOOKUP(I108,'Efficiency Lookup'!$D$2:$G$35,3,FALSE))</f>
        <v>0.7</v>
      </c>
      <c r="AP108" s="313">
        <f>U108*AO108</f>
        <v>28.454490792000012</v>
      </c>
      <c r="AQ108" s="134">
        <f>IF(X108="RR",IF((0.0308*(AA108^5)-0.2562*(AA108^4)+0.8634*(AA108^3)-1.5285*(AA108^2)+1.501*AA108-0.013)&gt;0.7,0.7,IF((0.0308*(AA108^5)-0.2562*(AA108^4)+0.8634*(AA108^3)-1.5285*(AA108^2)+1.501*AA108-0.013)&lt;0,0,(0.0308*(AA108^5)-0.2562*(AA108^4)+0.8634*(AA108^3)-1.5285*(AA108^2)+1.501*AA108-0.013))),IF((0.0152*(AA108^5)-0.131*(AA108^4)+0.4581*(AA108^3)-0.8418*(AA108^2)+0.8536*AA108-0.0046)&gt;0.65,0.65,IF((0.0152*(AA108^5)-0.131*(AA108^4)+0.4581*(AA108^3)-0.8418*(AA108^2)+0.8536*AA108-0.0046)&lt;0,0,(0.0152*(AA108^5)-0.131*(AA108^4)+0.4581*(AA108^3)-0.8418*(AA108^2)+0.8536*AA108-0.0046))))</f>
        <v>0.48308741489398022</v>
      </c>
      <c r="AR108" s="133">
        <f>U108*AQ108</f>
        <v>19.637151998331216</v>
      </c>
      <c r="AS108" s="400">
        <f>IF(AK108=AF108,MAX(AP108,AR108),IF(AK108=AH108,AP108,AR108))</f>
        <v>28.454490792000012</v>
      </c>
      <c r="AT108" s="1100"/>
      <c r="AU108" s="1104"/>
      <c r="AV108" s="496">
        <f>IF(ISNA(VLOOKUP(I108,'Efficiency Lookup'!$D$2:$G$35,4,FALSE)),0,VLOOKUP(I108,'Efficiency Lookup'!$D$2:$G$35,4,FALSE))</f>
        <v>0.8</v>
      </c>
      <c r="AW108" s="313">
        <f>$V108*AV108</f>
        <v>2632.1967416160014</v>
      </c>
      <c r="AX108" s="134">
        <f>IF(X108="RR",IF((0.0326*(AA108^5)-0.2806*(AA108^4)+0.9816*(AA108^3)-1.8039*(AA108^2)+1.8292*AA108-0.0098)&gt;0.85,0.85,IF((0.0326*(AA108^5)-0.2806*(AA108^4)+0.9816*(AA108^3)-1.8039*(AA108^2)+1.8292*AA108-0.0098)&lt;0,0,(0.0326*(AA108^5)-0.2806*(AA108^4)+0.9816*(AA108^3)-1.8039*(AA108^2)+1.8292*AA108-0.0098))),IF((0.0304*(AA108^5)-0.2619*(AA108^4)+0.9161*(AA108^3)-1.6837*(AA108^2)+1.7072*AA108-0.0091)&gt;0.8,0.8,IF((0.0304*(AA108^5)-0.2619*(AA108^4)+0.9161*(AA108^3)-1.6837*(AA108^2)+1.7072*AA108-0.0091)&lt;0,0,(0.0304*(AA108^5)-0.2619*(AA108^4)+0.9161*(AA108^3)-1.6837*(AA108^2)+1.7072*AA108-0.0091))))</f>
        <v>0.60394483554064782</v>
      </c>
      <c r="AY108" s="137">
        <f>$V108*AX108</f>
        <v>1987.1270352823813</v>
      </c>
      <c r="AZ108" s="400">
        <f>IF(AS108=AP108,AW108,AY108)</f>
        <v>2632.1967416160014</v>
      </c>
      <c r="BA108" s="1100"/>
      <c r="BB108" s="1104"/>
      <c r="BC108" s="1105"/>
      <c r="BD108" s="1106"/>
      <c r="BE108" s="1107"/>
      <c r="BF108" s="1018"/>
    </row>
    <row r="109" spans="1:59" ht="18.600000000000001" customHeight="1" x14ac:dyDescent="0.25">
      <c r="A109" s="5"/>
      <c r="B109" s="11">
        <v>-78.533474999999996</v>
      </c>
      <c r="C109" s="11">
        <v>38.054349000000002</v>
      </c>
      <c r="D109" s="26" t="s">
        <v>399</v>
      </c>
      <c r="E109" s="1048" t="s">
        <v>293</v>
      </c>
      <c r="F109" s="1048" t="s">
        <v>294</v>
      </c>
      <c r="G109" s="1048"/>
      <c r="H109" s="1021"/>
      <c r="I109" s="1021"/>
      <c r="J109" s="1048"/>
      <c r="K109" s="11">
        <v>14.2</v>
      </c>
      <c r="L109" s="11"/>
      <c r="M109" s="11">
        <f>SUM(M107:M108)</f>
        <v>0.85000000000000009</v>
      </c>
      <c r="N109" s="11">
        <f>SUM(N107:N108)</f>
        <v>4.0900000000000007</v>
      </c>
      <c r="O109" s="25">
        <f>+M109/K109</f>
        <v>5.9859154929577475E-2</v>
      </c>
      <c r="P109" s="25">
        <f>+N109/K109</f>
        <v>0.28802816901408457</v>
      </c>
      <c r="Q109" s="8"/>
      <c r="R109" s="8"/>
      <c r="S109" s="8"/>
      <c r="T109" s="8">
        <f>IF(J108="TT",IF(F108="u/g detention",(43*0.9*(0.05+0.9*P109)*0.26*$K109*2.72/12)-AK107,(43*0.9*(0.05+0.9*P109)*0.26*$K109*2.72/12)-AK108),43*0.9*(0.05+0.9*P109)*0.26*$K109*2.72/12)</f>
        <v>4.1517656699999996</v>
      </c>
      <c r="U109" s="8">
        <f>T109*5.2</f>
        <v>21.589181483999997</v>
      </c>
      <c r="V109" s="8">
        <f>T109*420.9</f>
        <v>1747.4781705029998</v>
      </c>
      <c r="W109" s="8"/>
      <c r="X109" s="34" t="s">
        <v>278</v>
      </c>
      <c r="Y109" s="257" t="s">
        <v>295</v>
      </c>
      <c r="Z109" s="257">
        <v>4.97</v>
      </c>
      <c r="AA109" s="258">
        <f>IF(Y109="NA", 0, (Y109/43560)*12/Z109)</f>
        <v>0</v>
      </c>
      <c r="AB109" s="742" t="s">
        <v>296</v>
      </c>
      <c r="AC109" s="134" t="str">
        <f t="shared" si="30"/>
        <v>NA</v>
      </c>
      <c r="AD109" s="741">
        <f t="shared" si="29"/>
        <v>0</v>
      </c>
      <c r="AE109" s="134">
        <f>IF(ISNA(VLOOKUP(H109,'Efficiency Lookup'!$B$2:$C$38,2,FALSE)),0,(VLOOKUP(H109,'Efficiency Lookup'!$B$2:$C$38,2,FALSE)))</f>
        <v>0</v>
      </c>
      <c r="AF109" s="133">
        <f>T109*AE109</f>
        <v>0</v>
      </c>
      <c r="AG109" s="134">
        <f>IF(ISNA(VLOOKUP(I109,'Efficiency Lookup'!$D$2:$E$35,2,FALSE)),0,VLOOKUP(I109,'Efficiency Lookup'!$D$2:$E$35,2,FALSE))</f>
        <v>0</v>
      </c>
      <c r="AH109" s="133">
        <f>T109*AG109</f>
        <v>0</v>
      </c>
      <c r="AI109" s="132">
        <f>IF(X109="RR",IF((0.0304*(AA109^5)-0.2619*(AA109^4)+0.9161*(AA109^3)-1.6837*(AA109^2)+1.7072*AA109-0.0091)&gt;0.85,0.85,IF((0.0304*(AA109^5)-0.2619*(AA109^4)+0.9161*(AA109^3)-1.6837*(AA109^2)+1.7072*AA109-0.0091)&lt;0,0,(0.0304*(AA109^5)-0.2619*(AA109^4)+0.9161*(AA109^3)-1.6837*(AA109^2)+1.7072*AA109-0.0091))),IF((0.0239*(AA109^5)-0.2058*(AA109^4)+0.7198*(AA109^3)-1.3229*(AA109^2)+1.3414*AA109-0.0072)&gt;0.65,0.65,IF((0.0239*(AA109^5)-0.2058*(AA109^4)+0.7198*(AA109^3)-1.3229*(AA109^2)+1.3414*AA109-0.0072)&lt;0,0,(0.0239*(AA109^5)-0.2058*(AA109^4)+0.7198*(AA109^3)-1.3229*(AA109^2)+1.3414*AA109-0.0072))))</f>
        <v>0</v>
      </c>
      <c r="AJ109" s="133">
        <f>T109*AI109</f>
        <v>0</v>
      </c>
      <c r="AK109" s="516">
        <f t="shared" si="31"/>
        <v>0</v>
      </c>
      <c r="AL109" s="1100"/>
      <c r="AM109" s="1100"/>
      <c r="AN109" s="1112"/>
      <c r="AO109" s="147">
        <f>IF(ISNA(VLOOKUP(I109,'Efficiency Lookup'!$D$2:$G$35,3,FALSE)),0,VLOOKUP(I109,'Efficiency Lookup'!$D$2:$G$35,3,FALSE))</f>
        <v>0</v>
      </c>
      <c r="AP109" s="34">
        <f>U109*AO109</f>
        <v>0</v>
      </c>
      <c r="AQ109" s="134">
        <f>IF(X109="RR",IF((0.0308*(AA109^5)-0.2562*(AA109^4)+0.8634*(AA109^3)-1.5285*(AA109^2)+1.501*AA109-0.013)&gt;0.7,0.7,IF((0.0308*(AA109^5)-0.2562*(AA109^4)+0.8634*(AA109^3)-1.5285*(AA109^2)+1.501*AA109-0.013)&lt;0,0,(0.0308*(AA109^5)-0.2562*(AA109^4)+0.8634*(AA109^3)-1.5285*(AA109^2)+1.501*AA109-0.013))),IF((0.0152*(AA109^5)-0.131*(AA109^4)+0.4581*(AA109^3)-0.8418*(AA109^2)+0.8536*AA109-0.0046)&gt;0.65,0.65,IF((0.0152*(AA109^5)-0.131*(AA109^4)+0.4581*(AA109^3)-0.8418*(AA109^2)+0.8536*AA109-0.0046)&lt;0,0,(0.0152*(AA109^5)-0.131*(AA109^4)+0.4581*(AA109^3)-0.8418*(AA109^2)+0.8536*AA109-0.0046))))</f>
        <v>0</v>
      </c>
      <c r="AR109" s="133">
        <f>U109*AQ109</f>
        <v>0</v>
      </c>
      <c r="AS109" s="400">
        <f>IF(AK109=AF109,MAX(AP109,AR109),IF(AK109=AH109,AP109,AR109))</f>
        <v>0</v>
      </c>
      <c r="AT109" s="1100"/>
      <c r="AU109" s="1104"/>
      <c r="AV109" s="147">
        <f>IF(ISNA(VLOOKUP(I109,'Efficiency Lookup'!$D$2:$G$35,4,FALSE)),0,VLOOKUP(I109,'Efficiency Lookup'!$D$2:$G$35,4,FALSE))</f>
        <v>0</v>
      </c>
      <c r="AW109" s="34">
        <f>$V109*AV109</f>
        <v>0</v>
      </c>
      <c r="AX109" s="134">
        <f>IF(X109="RR",IF((0.0326*(AA109^5)-0.2806*(AA109^4)+0.9816*(AA109^3)-1.8039*(AA109^2)+1.8292*AA109-0.0098)&gt;0.85,0.85,IF((0.0326*(AA109^5)-0.2806*(AA109^4)+0.9816*(AA109^3)-1.8039*(AA109^2)+1.8292*AA109-0.0098)&lt;0,0,(0.0326*(AA109^5)-0.2806*(AA109^4)+0.9816*(AA109^3)-1.8039*(AA109^2)+1.8292*AA109-0.0098))),IF((0.0304*(AA109^5)-0.2619*(AA109^4)+0.9161*(AA109^3)-1.6837*(AA109^2)+1.7072*AA109-0.0091)&gt;0.8,0.8,IF((0.0304*(AA109^5)-0.2619*(AA109^4)+0.9161*(AA109^3)-1.6837*(AA109^2)+1.7072*AA109-0.0091)&lt;0,0,(0.0304*(AA109^5)-0.2619*(AA109^4)+0.9161*(AA109^3)-1.6837*(AA109^2)+1.7072*AA109-0.0091))))</f>
        <v>0</v>
      </c>
      <c r="AY109" s="137">
        <f>$V109*AX109</f>
        <v>0</v>
      </c>
      <c r="AZ109" s="400">
        <f>IF(AS109=AP109,AW109,AY109)</f>
        <v>0</v>
      </c>
      <c r="BA109" s="1100"/>
      <c r="BB109" s="1104"/>
      <c r="BC109" s="1105"/>
      <c r="BD109" s="1106"/>
      <c r="BE109" s="1107"/>
      <c r="BF109" s="2"/>
      <c r="BG109" t="s">
        <v>400</v>
      </c>
    </row>
    <row r="110" spans="1:59" s="268" customFormat="1" ht="18.600000000000001" customHeight="1" x14ac:dyDescent="0.25">
      <c r="A110" s="271"/>
      <c r="B110" s="282"/>
      <c r="C110" s="282"/>
      <c r="D110" s="282"/>
      <c r="E110" s="270"/>
      <c r="F110" s="270"/>
      <c r="G110" s="270"/>
      <c r="H110" s="263"/>
      <c r="I110" s="263"/>
      <c r="J110" s="262"/>
      <c r="K110" s="271"/>
      <c r="L110" s="271"/>
      <c r="M110" s="271"/>
      <c r="N110" s="271"/>
      <c r="O110" s="273"/>
      <c r="P110" s="273"/>
      <c r="Q110" s="264"/>
      <c r="R110" s="264"/>
      <c r="S110" s="264"/>
      <c r="T110" s="264"/>
      <c r="U110" s="264"/>
      <c r="V110" s="264"/>
      <c r="W110" s="264"/>
      <c r="X110" s="266"/>
      <c r="Y110" s="265"/>
      <c r="Z110" s="265"/>
      <c r="AA110" s="321"/>
      <c r="AB110" s="747" t="s">
        <v>297</v>
      </c>
      <c r="AC110" s="322" t="str">
        <f t="shared" si="30"/>
        <v/>
      </c>
      <c r="AD110" s="754" t="str">
        <f t="shared" si="29"/>
        <v/>
      </c>
      <c r="AE110" s="322"/>
      <c r="AF110" s="266"/>
      <c r="AG110" s="322"/>
      <c r="AH110" s="274"/>
      <c r="AI110" s="320"/>
      <c r="AJ110" s="274"/>
      <c r="AK110" s="325" t="str">
        <f t="shared" si="31"/>
        <v/>
      </c>
      <c r="AO110" s="333"/>
      <c r="AP110" s="592"/>
      <c r="AQ110" s="322"/>
      <c r="AR110" s="274"/>
      <c r="AS110" s="326"/>
      <c r="AU110" s="316"/>
      <c r="AV110" s="333"/>
      <c r="AW110" s="274"/>
      <c r="AX110" s="322"/>
      <c r="AY110" s="275"/>
      <c r="AZ110" s="280"/>
      <c r="BA110" s="264"/>
      <c r="BB110" s="331"/>
      <c r="BE110" s="331"/>
      <c r="BF110" s="335"/>
    </row>
    <row r="111" spans="1:59" ht="18.600000000000001" customHeight="1" x14ac:dyDescent="0.25">
      <c r="A111" s="11" t="s">
        <v>401</v>
      </c>
      <c r="B111" s="11"/>
      <c r="C111" s="11"/>
      <c r="D111" s="1111" t="s">
        <v>271</v>
      </c>
      <c r="E111" s="1065"/>
      <c r="F111" s="1019"/>
      <c r="G111" s="1019"/>
      <c r="H111" s="1021"/>
      <c r="I111" s="1021"/>
      <c r="J111" s="1015" t="s">
        <v>348</v>
      </c>
      <c r="K111" s="11">
        <v>1.94</v>
      </c>
      <c r="L111" s="11"/>
      <c r="M111" s="11">
        <v>0.64</v>
      </c>
      <c r="N111" s="9">
        <v>0.64</v>
      </c>
      <c r="O111" s="7">
        <f>+M111/K111</f>
        <v>0.32989690721649484</v>
      </c>
      <c r="P111" s="7">
        <f>+N111/K111</f>
        <v>0.32989690721649484</v>
      </c>
      <c r="Q111" s="39">
        <f>43*0.9*(0.05+0.9*0.16)*0.26*$K111*2.72/12</f>
        <v>0.85837177920000007</v>
      </c>
      <c r="R111" s="8">
        <f>43*0.9*(0.05+0.9*O111)*0.26*$K111*2.72/12</f>
        <v>1.5349245600000003</v>
      </c>
      <c r="S111" s="8">
        <f>IF(J111="R",R111,Q111)</f>
        <v>1.5349245600000003</v>
      </c>
      <c r="T111" s="8">
        <f>43*0.9*(0.05+0.9*P111)*0.26*$K111*2.72/12</f>
        <v>1.5349245600000003</v>
      </c>
      <c r="U111" s="8">
        <f>T111*5.2</f>
        <v>7.9816077120000024</v>
      </c>
      <c r="V111" s="8">
        <f>T111*420.9</f>
        <v>646.04974730400011</v>
      </c>
      <c r="W111" s="8">
        <f>IF(P111 &lt; 16%, 0, IF(K111 &lt; 1, 0, T111-S111))</f>
        <v>0</v>
      </c>
      <c r="X111" s="34"/>
      <c r="Y111" s="257"/>
      <c r="Z111" s="257"/>
      <c r="AA111" s="258"/>
      <c r="AB111" s="742" t="s">
        <v>297</v>
      </c>
      <c r="AC111" s="134" t="str">
        <f t="shared" si="30"/>
        <v/>
      </c>
      <c r="AD111" s="741" t="str">
        <f t="shared" si="29"/>
        <v/>
      </c>
      <c r="AE111" s="134"/>
      <c r="AF111" s="34"/>
      <c r="AG111" s="134"/>
      <c r="AH111" s="133"/>
      <c r="AI111" s="132"/>
      <c r="AJ111" s="133"/>
      <c r="AK111" s="324" t="str">
        <f t="shared" si="31"/>
        <v/>
      </c>
      <c r="AO111" s="138"/>
      <c r="AP111" s="133"/>
      <c r="AQ111" s="134"/>
      <c r="AR111" s="133"/>
      <c r="AS111" s="306"/>
      <c r="AU111" s="260"/>
      <c r="AV111" s="138"/>
      <c r="AW111" s="133"/>
      <c r="AX111" s="134"/>
      <c r="AY111" s="137"/>
      <c r="AZ111" s="146"/>
      <c r="BA111" s="8"/>
      <c r="BB111" s="143"/>
      <c r="BE111" s="143"/>
      <c r="BF111" s="2"/>
    </row>
    <row r="112" spans="1:59" ht="18.600000000000001" customHeight="1" x14ac:dyDescent="0.25">
      <c r="A112" s="10"/>
      <c r="B112" s="11">
        <v>-78.525215000000003</v>
      </c>
      <c r="C112" s="11">
        <v>38.002034999999999</v>
      </c>
      <c r="D112" s="16">
        <v>375.01</v>
      </c>
      <c r="E112" s="1048" t="s">
        <v>281</v>
      </c>
      <c r="F112" s="1015"/>
      <c r="G112" s="1015"/>
      <c r="H112" s="1021" t="s">
        <v>343</v>
      </c>
      <c r="I112" s="1021" t="s">
        <v>315</v>
      </c>
      <c r="J112" s="1015"/>
      <c r="K112" s="11">
        <v>1.9</v>
      </c>
      <c r="L112" s="11"/>
      <c r="M112" s="11">
        <v>0</v>
      </c>
      <c r="N112" s="9">
        <v>0.64</v>
      </c>
      <c r="O112" s="7">
        <f>+M112/K112</f>
        <v>0</v>
      </c>
      <c r="P112" s="7">
        <f>+N112/K112</f>
        <v>0.33684210526315794</v>
      </c>
      <c r="Q112" s="8"/>
      <c r="R112" s="8"/>
      <c r="S112" s="8"/>
      <c r="T112" s="8">
        <f>IF(J111="TT",IF(F111="u/g detention",(43*0.9*(0.05+0.9*P112)*0.26*$K112*2.72/12)-AK110,(43*0.9*(0.05+0.9*P112)*0.26*$K112*2.72/12)-AK111),43*0.9*(0.05+0.9*P112)*0.26*$K112*2.72/12)</f>
        <v>1.5303631200000005</v>
      </c>
      <c r="U112" s="8">
        <f>T112*5.2</f>
        <v>7.9578882240000031</v>
      </c>
      <c r="V112" s="8">
        <f>T112*420.9</f>
        <v>644.12983720800014</v>
      </c>
      <c r="W112" s="8"/>
      <c r="X112" s="34" t="s">
        <v>285</v>
      </c>
      <c r="Y112" s="257" t="s">
        <v>295</v>
      </c>
      <c r="Z112" s="257" t="s">
        <v>295</v>
      </c>
      <c r="AA112" s="258">
        <f>IF(Y112="NA", 0, (Y112/43560)*12/Z112)</f>
        <v>0</v>
      </c>
      <c r="AB112" s="742" t="s">
        <v>296</v>
      </c>
      <c r="AC112" s="134" t="str">
        <f t="shared" si="30"/>
        <v>NA</v>
      </c>
      <c r="AD112" s="741">
        <f t="shared" si="29"/>
        <v>0</v>
      </c>
      <c r="AE112" s="134">
        <f>IF(ISNA(VLOOKUP(H112,'Efficiency Lookup'!$B$2:$C$38,2,FALSE)),0,(VLOOKUP(H112,'Efficiency Lookup'!$B$2:$C$38,2,FALSE)))</f>
        <v>0.5</v>
      </c>
      <c r="AF112" s="133">
        <f>T112*AE112</f>
        <v>0.76518156000000026</v>
      </c>
      <c r="AG112" s="288">
        <f>IF(ISNA(VLOOKUP(I112,'Efficiency Lookup'!$D$2:$E$35,2,FALSE)),0,VLOOKUP(I112,'Efficiency Lookup'!$D$2:$E$35,2,FALSE))</f>
        <v>0.75</v>
      </c>
      <c r="AH112" s="313">
        <f>T112*AG112</f>
        <v>1.1477723400000004</v>
      </c>
      <c r="AI112" s="132">
        <f>IF(X112="RR",IF((0.0304*(AA112^5)-0.2619*(AA112^4)+0.9161*(AA112^3)-1.6837*(AA112^2)+1.7072*AA112-0.0091)&gt;0.85,0.85,IF((0.0304*(AA112^5)-0.2619*(AA112^4)+0.9161*(AA112^3)-1.6837*(AA112^2)+1.7072*AA112-0.0091)&lt;0,0,(0.0304*(AA112^5)-0.2619*(AA112^4)+0.9161*(AA112^3)-1.6837*(AA112^2)+1.7072*AA112-0.0091))),IF((0.0239*(AA112^5)-0.2058*(AA112^4)+0.7198*(AA112^3)-1.3229*(AA112^2)+1.3414*AA112-0.0072)&gt;0.65,0.65,IF((0.0239*(AA112^5)-0.2058*(AA112^4)+0.7198*(AA112^3)-1.3229*(AA112^2)+1.3414*AA112-0.0072)&lt;0,0,(0.0239*(AA112^5)-0.2058*(AA112^4)+0.7198*(AA112^3)-1.3229*(AA112^2)+1.3414*AA112-0.0072))))</f>
        <v>0</v>
      </c>
      <c r="AJ112" s="133">
        <f>T112*AI112</f>
        <v>0</v>
      </c>
      <c r="AK112" s="516">
        <f t="shared" si="31"/>
        <v>1.1477723400000004</v>
      </c>
      <c r="AL112" s="34">
        <f>AK112</f>
        <v>1.1477723400000004</v>
      </c>
      <c r="AM112" s="313">
        <f>AL112-W111</f>
        <v>1.1477723400000004</v>
      </c>
      <c r="AN112" s="288">
        <f>AM112/AL112</f>
        <v>1</v>
      </c>
      <c r="AO112" s="147">
        <f>IF(ISNA(VLOOKUP(I112,'Efficiency Lookup'!$D$2:$G$35,3,FALSE)),0,VLOOKUP(I112,'Efficiency Lookup'!$D$2:$G$35,3,FALSE))</f>
        <v>0.7</v>
      </c>
      <c r="AP112" s="34">
        <f>U112*AO112</f>
        <v>5.5705217568000016</v>
      </c>
      <c r="AQ112" s="134">
        <f>IF(X112="RR",IF((0.0308*(AA112^5)-0.2562*(AA112^4)+0.8634*(AA112^3)-1.5285*(AA112^2)+1.501*AA112-0.013)&gt;0.7,0.7,IF((0.0308*(AA112^5)-0.2562*(AA112^4)+0.8634*(AA112^3)-1.5285*(AA112^2)+1.501*AA112-0.013)&lt;0,0,(0.0308*(AA112^5)-0.2562*(AA112^4)+0.8634*(AA112^3)-1.5285*(AA112^2)+1.501*AA112-0.013))),IF((0.0152*(AA112^5)-0.131*(AA112^4)+0.4581*(AA112^3)-0.8418*(AA112^2)+0.8536*AA112-0.0046)&gt;0.65,0.65,IF((0.0152*(AA112^5)-0.131*(AA112^4)+0.4581*(AA112^3)-0.8418*(AA112^2)+0.8536*AA112-0.0046)&lt;0,0,(0.0152*(AA112^5)-0.131*(AA112^4)+0.4581*(AA112^3)-0.8418*(AA112^2)+0.8536*AA112-0.0046))))</f>
        <v>0</v>
      </c>
      <c r="AR112" s="133">
        <f>U112*AQ112</f>
        <v>0</v>
      </c>
      <c r="AS112" s="400">
        <f>IF(AK112=AF112,MAX(AP112,AR112),IF(AK112=AH112,AP112,AR112))</f>
        <v>5.5705217568000016</v>
      </c>
      <c r="AT112" s="313">
        <f>AS112</f>
        <v>5.5705217568000016</v>
      </c>
      <c r="AU112" s="313">
        <f>AT112*AN112</f>
        <v>5.5705217568000016</v>
      </c>
      <c r="AV112" s="147">
        <f>IF(ISNA(VLOOKUP(I112,'Efficiency Lookup'!$D$2:$G$35,4,FALSE)),0,VLOOKUP(I112,'Efficiency Lookup'!$D$2:$G$35,4,FALSE))</f>
        <v>0.8</v>
      </c>
      <c r="AW112" s="34">
        <f>$V112*AV112</f>
        <v>515.30386976640011</v>
      </c>
      <c r="AX112" s="134">
        <f>IF(X112="RR",IF((0.0326*(AA112^5)-0.2806*(AA112^4)+0.9816*(AA112^3)-1.8039*(AA112^2)+1.8292*AA112-0.0098)&gt;0.85,0.85,IF((0.0326*(AA112^5)-0.2806*(AA112^4)+0.9816*(AA112^3)-1.8039*(AA112^2)+1.8292*AA112-0.0098)&lt;0,0,(0.0326*(AA112^5)-0.2806*(AA112^4)+0.9816*(AA112^3)-1.8039*(AA112^2)+1.8292*AA112-0.0098))),IF((0.0304*(AA112^5)-0.2619*(AA112^4)+0.9161*(AA112^3)-1.6837*(AA112^2)+1.7072*AA112-0.0091)&gt;0.8,0.8,IF((0.0304*(AA112^5)-0.2619*(AA112^4)+0.9161*(AA112^3)-1.6837*(AA112^2)+1.7072*AA112-0.0091)&lt;0,0,(0.0304*(AA112^5)-0.2619*(AA112^4)+0.9161*(AA112^3)-1.6837*(AA112^2)+1.7072*AA112-0.0091))))</f>
        <v>0</v>
      </c>
      <c r="AY112" s="137">
        <f>$V112*AX112</f>
        <v>0</v>
      </c>
      <c r="AZ112" s="400">
        <f>IF(AS112=AP112,AW112,AY112)</f>
        <v>515.30386976640011</v>
      </c>
      <c r="BA112" s="313">
        <f>AZ112</f>
        <v>515.30386976640011</v>
      </c>
      <c r="BB112" s="401">
        <f>BA112*AN112</f>
        <v>515.30386976640011</v>
      </c>
      <c r="BC112" s="318">
        <f>AM112</f>
        <v>1.1477723400000004</v>
      </c>
      <c r="BD112" s="318">
        <f>AU112</f>
        <v>5.5705217568000016</v>
      </c>
      <c r="BE112" s="332">
        <f>BB112</f>
        <v>515.30386976640011</v>
      </c>
      <c r="BF112" s="2"/>
    </row>
    <row r="113" spans="1:59" s="268" customFormat="1" ht="18.600000000000001" customHeight="1" x14ac:dyDescent="0.25">
      <c r="A113" s="271"/>
      <c r="B113" s="282"/>
      <c r="C113" s="282"/>
      <c r="D113" s="282"/>
      <c r="E113" s="270"/>
      <c r="F113" s="270"/>
      <c r="G113" s="270"/>
      <c r="H113" s="263"/>
      <c r="I113" s="263"/>
      <c r="J113" s="270"/>
      <c r="K113" s="271"/>
      <c r="L113" s="271"/>
      <c r="M113" s="271"/>
      <c r="N113" s="272"/>
      <c r="O113" s="273"/>
      <c r="P113" s="273"/>
      <c r="Q113" s="264"/>
      <c r="R113" s="264"/>
      <c r="S113" s="264"/>
      <c r="T113" s="264"/>
      <c r="U113" s="264"/>
      <c r="V113" s="264"/>
      <c r="W113" s="264"/>
      <c r="X113" s="266"/>
      <c r="Y113" s="265"/>
      <c r="Z113" s="265"/>
      <c r="AA113" s="264"/>
      <c r="AB113" s="743" t="s">
        <v>297</v>
      </c>
      <c r="AC113" s="751" t="str">
        <f t="shared" si="30"/>
        <v/>
      </c>
      <c r="AD113" s="303" t="str">
        <f t="shared" si="29"/>
        <v/>
      </c>
      <c r="AE113" s="274"/>
      <c r="AF113" s="266"/>
      <c r="AG113" s="303"/>
      <c r="AH113" s="274"/>
      <c r="AI113" s="303"/>
      <c r="AJ113" s="274"/>
      <c r="AK113" s="328" t="str">
        <f t="shared" si="31"/>
        <v/>
      </c>
      <c r="AO113" s="329"/>
      <c r="AP113" s="303"/>
      <c r="AQ113" s="303"/>
      <c r="AR113" s="303"/>
      <c r="AS113" s="326"/>
      <c r="AU113" s="267"/>
      <c r="AV113" s="329"/>
      <c r="AW113" s="303"/>
      <c r="AX113" s="303"/>
      <c r="AY113" s="285"/>
      <c r="AZ113" s="280"/>
      <c r="BA113" s="605"/>
      <c r="BB113" s="331"/>
      <c r="BE113" s="331"/>
      <c r="BF113" s="277"/>
    </row>
    <row r="114" spans="1:59" ht="18.600000000000001" customHeight="1" x14ac:dyDescent="0.25">
      <c r="A114" s="11" t="s">
        <v>402</v>
      </c>
      <c r="B114" s="11"/>
      <c r="C114" s="11"/>
      <c r="D114" s="1111" t="s">
        <v>271</v>
      </c>
      <c r="E114" s="1065"/>
      <c r="F114" s="1019"/>
      <c r="G114" s="1019"/>
      <c r="H114" s="1021"/>
      <c r="I114" s="1021"/>
      <c r="J114" s="1019"/>
      <c r="K114" s="11">
        <v>4.8499999999999996</v>
      </c>
      <c r="L114" s="11"/>
      <c r="M114" s="11">
        <v>0</v>
      </c>
      <c r="N114" s="9">
        <v>2.94</v>
      </c>
      <c r="O114" s="7">
        <f>+M114/K114</f>
        <v>0</v>
      </c>
      <c r="P114" s="7">
        <f>+N114/K114</f>
        <v>0.60618556701030935</v>
      </c>
      <c r="Q114" s="8">
        <f>43*0.9*(0.05+0.9*0.16)*0.26*$K114*2.72/12</f>
        <v>2.145929448</v>
      </c>
      <c r="R114" s="39">
        <f>43*0.9*(0.05+0.9*O114)*0.26*$K114*2.72/12</f>
        <v>0.55307460000000008</v>
      </c>
      <c r="S114" s="8">
        <f>IF(J114="R",R114,Q114)</f>
        <v>2.145929448</v>
      </c>
      <c r="T114" s="8">
        <f>43*0.9*(0.05+0.9*P114)*0.26*$K114*2.72/12</f>
        <v>6.5878597200000018</v>
      </c>
      <c r="U114" s="8">
        <f>T114*5.2</f>
        <v>34.256870544000009</v>
      </c>
      <c r="V114" s="8">
        <f>T114*420.9</f>
        <v>2772.8301561480007</v>
      </c>
      <c r="W114" s="8">
        <f>IF(P114 &lt; 16%, 0, IF(K114 &lt; 1, 0, T114-S114))</f>
        <v>4.4419302720000022</v>
      </c>
      <c r="X114" s="34" t="s">
        <v>295</v>
      </c>
      <c r="Y114" s="257" t="s">
        <v>295</v>
      </c>
      <c r="Z114" s="257" t="s">
        <v>295</v>
      </c>
      <c r="AA114" s="258">
        <f>IF(Y114="NA", 0, (Y114/43560)*12/Z114)</f>
        <v>0</v>
      </c>
      <c r="AB114" s="742" t="s">
        <v>297</v>
      </c>
      <c r="AC114" s="134" t="str">
        <f t="shared" si="30"/>
        <v/>
      </c>
      <c r="AD114" s="133" t="str">
        <f t="shared" si="29"/>
        <v/>
      </c>
      <c r="AE114" s="134">
        <f>IF(ISNA(VLOOKUP(H114,'Efficiency Lookup'!$B$2:$C$38,2,FALSE)),0,(VLOOKUP(H114,'Efficiency Lookup'!$B$2:$C$38,2,FALSE)))</f>
        <v>0</v>
      </c>
      <c r="AF114" s="133">
        <f>T114*AE114</f>
        <v>0</v>
      </c>
      <c r="AG114" s="134">
        <f>IF(ISNA(VLOOKUP(I114,'Efficiency Lookup'!$D$2:$E$35,2,FALSE)),0,VLOOKUP(I114,'Efficiency Lookup'!$D$2:$E$35,2,FALSE))</f>
        <v>0</v>
      </c>
      <c r="AH114" s="133">
        <f>T114*AG114</f>
        <v>0</v>
      </c>
      <c r="AI114" s="132">
        <f>IF(X114="RR",IF((0.0304*(AA114^5)-0.2619*(AA114^4)+0.9161*(AA114^3)-1.6837*(AA114^2)+1.7072*AA114-0.0091)&gt;0.85,0.85,IF((0.0304*(AA114^5)-0.2619*(AA114^4)+0.9161*(AA114^3)-1.6837*(AA114^2)+1.7072*AA114-0.0091)&lt;0,0,(0.0304*(AA114^5)-0.2619*(AA114^4)+0.9161*(AA114^3)-1.6837*(AA114^2)+1.7072*AA114-0.0091))),IF((0.0239*(AA114^5)-0.2058*(AA114^4)+0.7198*(AA114^3)-1.3229*(AA114^2)+1.3414*AA114-0.0072)&gt;0.65,0.65,IF((0.0239*(AA114^5)-0.2058*(AA114^4)+0.7198*(AA114^3)-1.3229*(AA114^2)+1.3414*AA114-0.0072)&lt;0,0,(0.0239*(AA114^5)-0.2058*(AA114^4)+0.7198*(AA114^3)-1.3229*(AA114^2)+1.3414*AA114-0.0072))))</f>
        <v>0</v>
      </c>
      <c r="AJ114" s="133">
        <f>T114*AI114</f>
        <v>0</v>
      </c>
      <c r="AK114" s="583" t="str">
        <f t="shared" si="31"/>
        <v/>
      </c>
      <c r="AL114" s="133" t="str">
        <f>AK114</f>
        <v/>
      </c>
      <c r="AM114" s="133" t="e">
        <f>AL114-W113</f>
        <v>#VALUE!</v>
      </c>
      <c r="AN114" s="134" t="e">
        <f>AM114/AL114</f>
        <v>#VALUE!</v>
      </c>
      <c r="AO114" s="138">
        <f>IF(ISNA(VLOOKUP(I114,'Efficiency Lookup'!$D$2:$G$35,3,FALSE)),0,VLOOKUP(I114,'Efficiency Lookup'!$D$2:$G$35,3,FALSE))</f>
        <v>0</v>
      </c>
      <c r="AP114" s="133">
        <f>U114*AO114</f>
        <v>0</v>
      </c>
      <c r="AQ114" s="134">
        <f>IF(X114="RR",IF((0.0308*(AA114^5)-0.2562*(AA114^4)+0.8634*(AA114^3)-1.5285*(AA114^2)+1.501*AA114-0.013)&gt;0.7,0.7,IF((0.0308*(AA114^5)-0.2562*(AA114^4)+0.8634*(AA114^3)-1.5285*(AA114^2)+1.501*AA114-0.013)&lt;0,0,(0.0308*(AA114^5)-0.2562*(AA114^4)+0.8634*(AA114^3)-1.5285*(AA114^2)+1.501*AA114-0.013))),IF((0.0152*(AA114^5)-0.131*(AA114^4)+0.4581*(AA114^3)-0.8418*(AA114^2)+0.8536*AA114-0.0046)&gt;0.65,0.65,IF((0.0152*(AA114^5)-0.131*(AA114^4)+0.4581*(AA114^3)-0.8418*(AA114^2)+0.8536*AA114-0.0046)&lt;0,0,(0.0152*(AA114^5)-0.131*(AA114^4)+0.4581*(AA114^3)-0.8418*(AA114^2)+0.8536*AA114-0.0046))))</f>
        <v>0</v>
      </c>
      <c r="AR114" s="133">
        <f>U114*AQ114</f>
        <v>0</v>
      </c>
      <c r="AS114" s="324">
        <f>IF(AK114=AF114,MAX(AP114,AR114),IF(AK114=AH114,AP114,AR114))</f>
        <v>0</v>
      </c>
      <c r="AT114" s="133">
        <f>AS114</f>
        <v>0</v>
      </c>
      <c r="AU114" s="133" t="e">
        <f>AT114*AN114</f>
        <v>#VALUE!</v>
      </c>
      <c r="AV114" s="138">
        <f>IF(ISNA(VLOOKUP(I114,'Efficiency Lookup'!$D$2:$G$35,4,FALSE)),0,VLOOKUP(I114,'Efficiency Lookup'!$D$2:$G$35,4,FALSE))</f>
        <v>0</v>
      </c>
      <c r="AW114" s="133">
        <f>$V114*AV114</f>
        <v>0</v>
      </c>
      <c r="AX114" s="134">
        <f>IF(X114="RR",IF((0.0326*(AA114^5)-0.2806*(AA114^4)+0.9816*(AA114^3)-1.8039*(AA114^2)+1.8292*AA114-0.0098)&gt;0.85,0.85,IF((0.0326*(AA114^5)-0.2806*(AA114^4)+0.9816*(AA114^3)-1.8039*(AA114^2)+1.8292*AA114-0.0098)&lt;0,0,(0.0326*(AA114^5)-0.2806*(AA114^4)+0.9816*(AA114^3)-1.8039*(AA114^2)+1.8292*AA114-0.0098))),IF((0.0304*(AA114^5)-0.2619*(AA114^4)+0.9161*(AA114^3)-1.6837*(AA114^2)+1.7072*AA114-0.0091)&gt;0.8,0.8,IF((0.0304*(AA114^5)-0.2619*(AA114^4)+0.9161*(AA114^3)-1.6837*(AA114^2)+1.7072*AA114-0.0091)&lt;0,0,(0.0304*(AA114^5)-0.2619*(AA114^4)+0.9161*(AA114^3)-1.6837*(AA114^2)+1.7072*AA114-0.0091))))</f>
        <v>0</v>
      </c>
      <c r="AY114" s="137">
        <f>$V114*AX114</f>
        <v>0</v>
      </c>
      <c r="AZ114" s="400">
        <f>IF(AS114=AP114,AW114,AY114)</f>
        <v>0</v>
      </c>
      <c r="BA114" s="133">
        <f>AZ114</f>
        <v>0</v>
      </c>
      <c r="BB114" s="137" t="e">
        <f>BA114*AN114</f>
        <v>#VALUE!</v>
      </c>
      <c r="BC114" s="337">
        <f>-W114</f>
        <v>-4.4419302720000022</v>
      </c>
      <c r="BD114" s="337">
        <f>BC114*5.2</f>
        <v>-23.098037414400011</v>
      </c>
      <c r="BE114" s="338">
        <f>BC114*420.9</f>
        <v>-1869.6084514848008</v>
      </c>
      <c r="BF114" s="14"/>
      <c r="BG114" t="s">
        <v>403</v>
      </c>
    </row>
    <row r="115" spans="1:59" s="268" customFormat="1" ht="18.600000000000001" customHeight="1" x14ac:dyDescent="0.25">
      <c r="A115" s="271"/>
      <c r="B115" s="283"/>
      <c r="C115" s="283"/>
      <c r="D115" s="283"/>
      <c r="E115" s="282"/>
      <c r="F115" s="282"/>
      <c r="G115" s="282"/>
      <c r="H115" s="263"/>
      <c r="I115" s="263"/>
      <c r="J115" s="282"/>
      <c r="K115" s="271"/>
      <c r="L115" s="271"/>
      <c r="M115" s="271"/>
      <c r="N115" s="272"/>
      <c r="O115" s="273"/>
      <c r="P115" s="273"/>
      <c r="Q115" s="264"/>
      <c r="R115" s="264"/>
      <c r="S115" s="264"/>
      <c r="T115" s="264"/>
      <c r="U115" s="264"/>
      <c r="V115" s="264"/>
      <c r="W115" s="264"/>
      <c r="X115" s="264"/>
      <c r="Y115" s="265"/>
      <c r="Z115" s="265"/>
      <c r="AA115" s="264"/>
      <c r="AB115" s="743" t="s">
        <v>297</v>
      </c>
      <c r="AC115" s="751" t="str">
        <f t="shared" si="30"/>
        <v/>
      </c>
      <c r="AD115" s="303" t="str">
        <f t="shared" si="29"/>
        <v/>
      </c>
      <c r="AE115" s="274"/>
      <c r="AF115" s="266"/>
      <c r="AG115" s="303"/>
      <c r="AH115" s="274"/>
      <c r="AI115" s="303"/>
      <c r="AJ115" s="274"/>
      <c r="AK115" s="328" t="str">
        <f t="shared" si="31"/>
        <v/>
      </c>
      <c r="AO115" s="329"/>
      <c r="AP115" s="303"/>
      <c r="AQ115" s="303"/>
      <c r="AR115" s="303"/>
      <c r="AS115" s="326"/>
      <c r="AU115" s="267"/>
      <c r="AV115" s="329"/>
      <c r="AW115" s="303"/>
      <c r="AX115" s="303"/>
      <c r="AY115" s="285"/>
      <c r="AZ115" s="280"/>
      <c r="BA115" s="264"/>
      <c r="BB115" s="331"/>
      <c r="BE115" s="331"/>
      <c r="BF115" s="277"/>
      <c r="BG115" s="284"/>
    </row>
    <row r="116" spans="1:59" ht="18.600000000000001" customHeight="1" x14ac:dyDescent="0.25">
      <c r="A116" s="11" t="s">
        <v>404</v>
      </c>
      <c r="B116" s="11"/>
      <c r="C116" s="11"/>
      <c r="D116" s="1111" t="s">
        <v>271</v>
      </c>
      <c r="E116" s="1065"/>
      <c r="F116" s="1019"/>
      <c r="G116" s="1019"/>
      <c r="H116" s="1021"/>
      <c r="I116" s="1021"/>
      <c r="J116" s="1019"/>
      <c r="K116" s="11">
        <v>4.34</v>
      </c>
      <c r="L116" s="11"/>
      <c r="M116" s="11">
        <v>1.1399999999999999</v>
      </c>
      <c r="N116" s="9">
        <v>2.68</v>
      </c>
      <c r="O116" s="7">
        <f t="shared" ref="O116:O123" si="32">+M116/K116</f>
        <v>0.26267281105990781</v>
      </c>
      <c r="P116" s="7">
        <f t="shared" ref="P116:P123" si="33">+N116/K116</f>
        <v>0.61751152073732729</v>
      </c>
      <c r="Q116" s="8">
        <f>43*0.9*(0.05+0.9*0.16)*0.26*$K116*2.72/12</f>
        <v>1.9202750112</v>
      </c>
      <c r="R116" s="39">
        <f>43*0.9*(0.05+0.9*O116)*0.26*$K116*2.72/12</f>
        <v>2.8349349600000004</v>
      </c>
      <c r="S116" s="8">
        <f>IF(J116="R",R116,Q116)</f>
        <v>1.9202750112</v>
      </c>
      <c r="T116" s="8">
        <f>43*0.9*(0.05+0.9*P116)*0.26*$K116*2.72/12</f>
        <v>5.9960128800000021</v>
      </c>
      <c r="U116" s="8">
        <f t="shared" ref="U116:U124" si="34">T116*5.2</f>
        <v>31.179266976000012</v>
      </c>
      <c r="V116" s="8">
        <f t="shared" ref="V116:V124" si="35">T116*420.9</f>
        <v>2523.7218211920008</v>
      </c>
      <c r="W116" s="8">
        <f>IF(P116 &lt; 16%, 0, IF(K116 &lt; 1, 0, T116-S116))</f>
        <v>4.0757378688000019</v>
      </c>
      <c r="X116" s="37"/>
      <c r="Y116" s="1048"/>
      <c r="Z116" s="1048"/>
      <c r="AA116" s="8"/>
      <c r="AB116" s="744" t="s">
        <v>297</v>
      </c>
      <c r="AC116" s="750" t="str">
        <f t="shared" si="30"/>
        <v/>
      </c>
      <c r="AD116" s="39" t="str">
        <f t="shared" si="29"/>
        <v/>
      </c>
      <c r="AE116" s="133"/>
      <c r="AF116" s="34"/>
      <c r="AG116" s="39"/>
      <c r="AH116" s="133"/>
      <c r="AI116" s="39"/>
      <c r="AJ116" s="133"/>
      <c r="AK116" s="327" t="str">
        <f t="shared" si="31"/>
        <v/>
      </c>
      <c r="AO116" s="589"/>
      <c r="AP116" s="39"/>
      <c r="AQ116" s="39"/>
      <c r="AR116" s="39"/>
      <c r="AS116" s="306"/>
      <c r="AU116" s="28"/>
      <c r="AV116" s="589"/>
      <c r="AW116" s="39"/>
      <c r="AX116" s="39"/>
      <c r="AY116" s="136"/>
      <c r="AZ116" s="146"/>
      <c r="BA116" s="8"/>
      <c r="BB116" s="143"/>
      <c r="BE116" s="143"/>
      <c r="BF116" s="14"/>
      <c r="BG116" t="s">
        <v>405</v>
      </c>
    </row>
    <row r="117" spans="1:59" ht="18.600000000000001" customHeight="1" x14ac:dyDescent="0.25">
      <c r="A117" s="10" t="s">
        <v>406</v>
      </c>
      <c r="B117" s="11">
        <v>-78.433589999999995</v>
      </c>
      <c r="C117" s="11">
        <v>38.133090000000003</v>
      </c>
      <c r="D117" s="16">
        <v>388.01</v>
      </c>
      <c r="E117" s="1048" t="s">
        <v>281</v>
      </c>
      <c r="F117" s="1048" t="s">
        <v>282</v>
      </c>
      <c r="G117" s="1048"/>
      <c r="H117" s="1021" t="s">
        <v>283</v>
      </c>
      <c r="I117" s="1021" t="s">
        <v>284</v>
      </c>
      <c r="J117" s="1015"/>
      <c r="K117" s="11">
        <v>0.65</v>
      </c>
      <c r="L117" s="11"/>
      <c r="M117" s="11">
        <v>0.39</v>
      </c>
      <c r="N117" s="9">
        <v>0.41</v>
      </c>
      <c r="O117" s="7">
        <f t="shared" si="32"/>
        <v>0.6</v>
      </c>
      <c r="P117" s="7">
        <f t="shared" si="33"/>
        <v>0.63076923076923075</v>
      </c>
      <c r="Q117" s="8"/>
      <c r="R117" s="8"/>
      <c r="S117" s="8"/>
      <c r="T117" s="8">
        <f t="shared" ref="T117:T123" si="36">IF(J116="TT",IF(F116="u/g detention",(43*0.9*(0.05+0.9*P117)*0.26*$K117*2.72/12)-AK115,(43*0.9*(0.05+0.9*P117)*0.26*$K117*2.72/12)-AK116),43*0.9*(0.05+0.9*P117)*0.26*$K117*2.72/12)</f>
        <v>0.9157090800000004</v>
      </c>
      <c r="U117" s="8">
        <f t="shared" si="34"/>
        <v>4.7616872160000021</v>
      </c>
      <c r="V117" s="8">
        <f t="shared" si="35"/>
        <v>385.42195177200017</v>
      </c>
      <c r="W117" s="8"/>
      <c r="X117" s="36" t="s">
        <v>285</v>
      </c>
      <c r="Y117" s="257">
        <v>1654</v>
      </c>
      <c r="Z117" s="257">
        <v>0.41</v>
      </c>
      <c r="AA117" s="258">
        <f t="shared" ref="AA117:AA124" si="37">IF(Y117="NA", 0, (Y117/43560)*12/Z117)</f>
        <v>1.1113350802929518</v>
      </c>
      <c r="AB117" s="742" t="s">
        <v>286</v>
      </c>
      <c r="AC117" s="134" t="str">
        <f t="shared" si="30"/>
        <v>NA</v>
      </c>
      <c r="AD117" s="741">
        <f t="shared" si="29"/>
        <v>0</v>
      </c>
      <c r="AE117" s="134">
        <f>IF(ISNA(VLOOKUP(H117,'Efficiency Lookup'!$B$2:$C$38,2,FALSE)),0,(VLOOKUP(H117,'Efficiency Lookup'!$B$2:$C$38,2,FALSE)))</f>
        <v>0.65</v>
      </c>
      <c r="AF117" s="133">
        <f t="shared" ref="AF117:AF124" si="38">T117*AE117</f>
        <v>0.59521090200000026</v>
      </c>
      <c r="AG117" s="134">
        <f>IF(ISNA(VLOOKUP(I117,'Efficiency Lookup'!$D$2:$E$35,2,FALSE)),0,VLOOKUP(I117,'Efficiency Lookup'!$D$2:$E$35,2,FALSE))</f>
        <v>0.45</v>
      </c>
      <c r="AH117" s="133">
        <f t="shared" ref="AH117:AH124" si="39">T117*AG117</f>
        <v>0.4120690860000002</v>
      </c>
      <c r="AI117" s="140">
        <f t="shared" ref="AI117:AI124" si="40">IF(X117="RR",IF((0.0304*(AA117^5)-0.2619*(AA117^4)+0.9161*(AA117^3)-1.6837*(AA117^2)+1.7072*AA117-0.0091)&gt;0.85,0.85,IF((0.0304*(AA117^5)-0.2619*(AA117^4)+0.9161*(AA117^3)-1.6837*(AA117^2)+1.7072*AA117-0.0091)&lt;0,0,(0.0304*(AA117^5)-0.2619*(AA117^4)+0.9161*(AA117^3)-1.6837*(AA117^2)+1.7072*AA117-0.0091))),IF((0.0239*(AA117^5)-0.2058*(AA117^4)+0.7198*(AA117^3)-1.3229*(AA117^2)+1.3414*AA117-0.0072)&gt;0.65,0.65,IF((0.0239*(AA117^5)-0.2058*(AA117^4)+0.7198*(AA117^3)-1.3229*(AA117^2)+1.3414*AA117-0.0072)&lt;0,0,(0.0239*(AA117^5)-0.2058*(AA117^4)+0.7198*(AA117^3)-1.3229*(AA117^2)+1.3414*AA117-0.0072))))</f>
        <v>0.71813988892492009</v>
      </c>
      <c r="AJ117" s="34">
        <f t="shared" ref="AJ117:AJ124" si="41">T117*AI117</f>
        <v>0.65760721699874103</v>
      </c>
      <c r="AK117" s="516">
        <f t="shared" si="31"/>
        <v>0.65760721699874103</v>
      </c>
      <c r="AL117" s="1121">
        <f>SUM(AK117:AK124)</f>
        <v>3.6372687031287203</v>
      </c>
      <c r="AM117" s="1100">
        <f>AL117-W116</f>
        <v>-0.43846916567128158</v>
      </c>
      <c r="AN117" s="1112">
        <f>AM117/AL117</f>
        <v>-0.12054901670974086</v>
      </c>
      <c r="AO117" s="138">
        <f>IF(ISNA(VLOOKUP(I117,'Efficiency Lookup'!$D$2:$G$35,3,FALSE)),0,VLOOKUP(I117,'Efficiency Lookup'!$D$2:$G$35,3,FALSE))</f>
        <v>0.25</v>
      </c>
      <c r="AP117" s="133">
        <f t="shared" ref="AP117:AP124" si="42">U117*AO117</f>
        <v>1.1904218040000005</v>
      </c>
      <c r="AQ117" s="135">
        <f t="shared" ref="AQ117:AQ124" si="43">IF(X117="RR",IF((0.0308*(AA117^5)-0.2562*(AA117^4)+0.8634*(AA117^3)-1.5285*(AA117^2)+1.501*AA117-0.013)&gt;0.7,0.7,IF((0.0308*(AA117^5)-0.2562*(AA117^4)+0.8634*(AA117^3)-1.5285*(AA117^2)+1.501*AA117-0.013)&lt;0,0,(0.0308*(AA117^5)-0.2562*(AA117^4)+0.8634*(AA117^3)-1.5285*(AA117^2)+1.501*AA117-0.013))),IF((0.0152*(AA117^5)-0.131*(AA117^4)+0.4581*(AA117^3)-0.8418*(AA117^2)+0.8536*AA117-0.0046)&gt;0.65,0.65,IF((0.0152*(AA117^5)-0.131*(AA117^4)+0.4581*(AA117^3)-0.8418*(AA117^2)+0.8536*AA117-0.0046)&lt;0,0,(0.0152*(AA117^5)-0.131*(AA117^4)+0.4581*(AA117^3)-0.8418*(AA117^2)+0.8536*AA117-0.0046))))</f>
        <v>0.61380304577891709</v>
      </c>
      <c r="AR117" s="34">
        <f t="shared" ref="AR117:AR124" si="44">U117*AQ117</f>
        <v>2.9227381162273334</v>
      </c>
      <c r="AS117" s="400">
        <f t="shared" ref="AS117:AS124" si="45">IF(AK117=AF117,MAX(AP117,AR117),IF(AK117=AH117,AP117,AR117))</f>
        <v>2.9227381162273334</v>
      </c>
      <c r="AT117" s="1100">
        <f>SUM(AS117:AS124)</f>
        <v>10.335540544616869</v>
      </c>
      <c r="AU117" s="1104">
        <f>AT117*AN117</f>
        <v>-1.245939249817223</v>
      </c>
      <c r="AV117" s="138">
        <f>IF(ISNA(VLOOKUP(I117,'Efficiency Lookup'!$D$2:$G$35,4,FALSE)),0,VLOOKUP(I117,'Efficiency Lookup'!$D$2:$G$35,4,FALSE))</f>
        <v>0.55000000000000004</v>
      </c>
      <c r="AW117" s="133">
        <f t="shared" ref="AW117:AW124" si="46">$V117*AV117</f>
        <v>211.9820734746001</v>
      </c>
      <c r="AX117" s="135">
        <f t="shared" ref="AX117:AX124" si="47">IF(X117="RR",IF((0.0326*(AA117^5)-0.2806*(AA117^4)+0.9816*(AA117^3)-1.8039*(AA117^2)+1.8292*AA117-0.0098)&gt;0.85,0.85,IF((0.0326*(AA117^5)-0.2806*(AA117^4)+0.9816*(AA117^3)-1.8039*(AA117^2)+1.8292*AA117-0.0098)&lt;0,0,(0.0326*(AA117^5)-0.2806*(AA117^4)+0.9816*(AA117^3)-1.8039*(AA117^2)+1.8292*AA117-0.0098))),IF((0.0304*(AA117^5)-0.2619*(AA117^4)+0.9161*(AA117^3)-1.6837*(AA117^2)+1.7072*AA117-0.0091)&gt;0.8,0.8,IF((0.0304*(AA117^5)-0.2619*(AA117^4)+0.9161*(AA117^3)-1.6837*(AA117^2)+1.7072*AA117-0.0091)&lt;0,0,(0.0304*(AA117^5)-0.2619*(AA117^4)+0.9161*(AA117^3)-1.6837*(AA117^2)+1.7072*AA117-0.0091))))</f>
        <v>0.76967606434881231</v>
      </c>
      <c r="AY117" s="144">
        <f t="shared" ref="AY117:AY124" si="48">$V117*AX117</f>
        <v>296.65005095351086</v>
      </c>
      <c r="AZ117" s="400">
        <f t="shared" ref="AZ117:AZ124" si="49">IF(AS117=AP117,AW117,AY117)</f>
        <v>296.65005095351086</v>
      </c>
      <c r="BA117" s="1100">
        <f>SUM(AZ117:AZ124)</f>
        <v>1069.9318067643785</v>
      </c>
      <c r="BB117" s="1104">
        <f>BA117*AN117</f>
        <v>-128.97922725192228</v>
      </c>
      <c r="BC117" s="1101">
        <f>AM117</f>
        <v>-0.43846916567128158</v>
      </c>
      <c r="BD117" s="1102">
        <f>AU117</f>
        <v>-1.245939249817223</v>
      </c>
      <c r="BE117" s="1103">
        <f>BB117</f>
        <v>-128.97922725192228</v>
      </c>
      <c r="BF117" s="14"/>
      <c r="BG117" t="s">
        <v>407</v>
      </c>
    </row>
    <row r="118" spans="1:59" ht="18.600000000000001" customHeight="1" x14ac:dyDescent="0.25">
      <c r="A118" s="10" t="s">
        <v>408</v>
      </c>
      <c r="B118" s="11">
        <v>-78.433870999999996</v>
      </c>
      <c r="C118" s="11">
        <v>38.13241</v>
      </c>
      <c r="D118" s="16">
        <v>388.02</v>
      </c>
      <c r="E118" s="1048" t="s">
        <v>281</v>
      </c>
      <c r="F118" s="1048" t="s">
        <v>282</v>
      </c>
      <c r="G118" s="1048"/>
      <c r="H118" s="1021" t="s">
        <v>283</v>
      </c>
      <c r="I118" s="1021" t="s">
        <v>284</v>
      </c>
      <c r="J118" s="1015"/>
      <c r="K118" s="11">
        <v>0.91</v>
      </c>
      <c r="L118" s="11"/>
      <c r="M118" s="11">
        <v>0.34</v>
      </c>
      <c r="N118" s="9">
        <v>0.59</v>
      </c>
      <c r="O118" s="7">
        <f t="shared" si="32"/>
        <v>0.37362637362637363</v>
      </c>
      <c r="P118" s="7">
        <f t="shared" si="33"/>
        <v>0.64835164835164827</v>
      </c>
      <c r="Q118" s="8"/>
      <c r="R118" s="8"/>
      <c r="S118" s="8"/>
      <c r="T118" s="8">
        <f t="shared" si="36"/>
        <v>1.3148350800000002</v>
      </c>
      <c r="U118" s="8">
        <f t="shared" si="34"/>
        <v>6.8371424160000007</v>
      </c>
      <c r="V118" s="8">
        <f t="shared" si="35"/>
        <v>553.414085172</v>
      </c>
      <c r="W118" s="8"/>
      <c r="X118" s="36" t="s">
        <v>285</v>
      </c>
      <c r="Y118" s="257">
        <v>2701</v>
      </c>
      <c r="Z118" s="257">
        <v>0.59</v>
      </c>
      <c r="AA118" s="258">
        <f t="shared" si="37"/>
        <v>1.2611476864173321</v>
      </c>
      <c r="AB118" s="742" t="s">
        <v>286</v>
      </c>
      <c r="AC118" s="134" t="str">
        <f t="shared" si="30"/>
        <v>NA</v>
      </c>
      <c r="AD118" s="741">
        <f t="shared" si="29"/>
        <v>0</v>
      </c>
      <c r="AE118" s="134">
        <f>IF(ISNA(VLOOKUP(H118,'Efficiency Lookup'!$B$2:$C$38,2,FALSE)),0,(VLOOKUP(H118,'Efficiency Lookup'!$B$2:$C$38,2,FALSE)))</f>
        <v>0.65</v>
      </c>
      <c r="AF118" s="133">
        <f t="shared" si="38"/>
        <v>0.85464280200000009</v>
      </c>
      <c r="AG118" s="134">
        <f>IF(ISNA(VLOOKUP(I118,'Efficiency Lookup'!$D$2:$E$35,2,FALSE)),0,VLOOKUP(I118,'Efficiency Lookup'!$D$2:$E$35,2,FALSE))</f>
        <v>0.45</v>
      </c>
      <c r="AH118" s="133">
        <f t="shared" si="39"/>
        <v>0.59167578600000004</v>
      </c>
      <c r="AI118" s="140">
        <f t="shared" si="40"/>
        <v>0.73803831972606748</v>
      </c>
      <c r="AJ118" s="34">
        <f t="shared" si="41"/>
        <v>0.97039867316008965</v>
      </c>
      <c r="AK118" s="516">
        <f t="shared" si="31"/>
        <v>0.97039867316008965</v>
      </c>
      <c r="AL118" s="1121"/>
      <c r="AM118" s="1100"/>
      <c r="AN118" s="1112"/>
      <c r="AO118" s="138">
        <f>IF(ISNA(VLOOKUP(I118,'Efficiency Lookup'!$D$2:$G$35,3,FALSE)),0,VLOOKUP(I118,'Efficiency Lookup'!$D$2:$G$35,3,FALSE))</f>
        <v>0.25</v>
      </c>
      <c r="AP118" s="133">
        <f t="shared" si="42"/>
        <v>1.7092856040000002</v>
      </c>
      <c r="AQ118" s="135">
        <f t="shared" si="43"/>
        <v>0.63092134058971328</v>
      </c>
      <c r="AR118" s="34">
        <f t="shared" si="44"/>
        <v>4.3136990589055113</v>
      </c>
      <c r="AS118" s="400">
        <f t="shared" si="45"/>
        <v>4.3136990589055113</v>
      </c>
      <c r="AT118" s="1100"/>
      <c r="AU118" s="1104"/>
      <c r="AV118" s="138">
        <f>IF(ISNA(VLOOKUP(I118,'Efficiency Lookup'!$D$2:$G$35,4,FALSE)),0,VLOOKUP(I118,'Efficiency Lookup'!$D$2:$G$35,4,FALSE))</f>
        <v>0.55000000000000004</v>
      </c>
      <c r="AW118" s="133">
        <f t="shared" si="46"/>
        <v>304.37774684460004</v>
      </c>
      <c r="AX118" s="135">
        <f t="shared" si="47"/>
        <v>0.79111782159613586</v>
      </c>
      <c r="AY118" s="144">
        <f t="shared" si="48"/>
        <v>437.81574550189106</v>
      </c>
      <c r="AZ118" s="400">
        <f t="shared" si="49"/>
        <v>437.81574550189106</v>
      </c>
      <c r="BA118" s="1100"/>
      <c r="BB118" s="1104"/>
      <c r="BC118" s="1101"/>
      <c r="BD118" s="1102"/>
      <c r="BE118" s="1103"/>
      <c r="BF118" s="14"/>
      <c r="BG118" t="s">
        <v>407</v>
      </c>
    </row>
    <row r="119" spans="1:59" ht="18.600000000000001" customHeight="1" x14ac:dyDescent="0.25">
      <c r="A119" s="10" t="s">
        <v>409</v>
      </c>
      <c r="B119" s="11">
        <v>-78.432996000000003</v>
      </c>
      <c r="C119" s="11">
        <v>38.132795000000002</v>
      </c>
      <c r="D119" s="16">
        <v>388.03</v>
      </c>
      <c r="E119" s="1048" t="s">
        <v>281</v>
      </c>
      <c r="F119" s="1048" t="s">
        <v>282</v>
      </c>
      <c r="G119" s="1048"/>
      <c r="H119" s="1021" t="s">
        <v>283</v>
      </c>
      <c r="I119" s="1021" t="s">
        <v>284</v>
      </c>
      <c r="J119" s="1015"/>
      <c r="K119" s="11">
        <v>0.48</v>
      </c>
      <c r="L119" s="11"/>
      <c r="M119" s="11">
        <v>0.08</v>
      </c>
      <c r="N119" s="9">
        <v>0.4</v>
      </c>
      <c r="O119" s="7">
        <f t="shared" si="32"/>
        <v>0.16666666666666669</v>
      </c>
      <c r="P119" s="7">
        <f t="shared" si="33"/>
        <v>0.83333333333333337</v>
      </c>
      <c r="Q119" s="8"/>
      <c r="R119" s="8"/>
      <c r="S119" s="8"/>
      <c r="T119" s="8">
        <f t="shared" si="36"/>
        <v>0.8757964800000001</v>
      </c>
      <c r="U119" s="8">
        <f t="shared" si="34"/>
        <v>4.5541416960000003</v>
      </c>
      <c r="V119" s="8">
        <f t="shared" si="35"/>
        <v>368.62273843200001</v>
      </c>
      <c r="W119" s="8"/>
      <c r="X119" s="36" t="s">
        <v>285</v>
      </c>
      <c r="Y119" s="257">
        <v>1519</v>
      </c>
      <c r="Z119" s="257">
        <v>0.4</v>
      </c>
      <c r="AA119" s="258">
        <f t="shared" si="37"/>
        <v>1.0461432506887052</v>
      </c>
      <c r="AB119" s="742" t="s">
        <v>286</v>
      </c>
      <c r="AC119" s="134" t="str">
        <f t="shared" si="30"/>
        <v>NA</v>
      </c>
      <c r="AD119" s="741">
        <f t="shared" si="29"/>
        <v>0</v>
      </c>
      <c r="AE119" s="134">
        <f>IF(ISNA(VLOOKUP(H119,'Efficiency Lookup'!$B$2:$C$38,2,FALSE)),0,(VLOOKUP(H119,'Efficiency Lookup'!$B$2:$C$38,2,FALSE)))</f>
        <v>0.65</v>
      </c>
      <c r="AF119" s="133">
        <f t="shared" si="38"/>
        <v>0.56926771200000004</v>
      </c>
      <c r="AG119" s="134">
        <f>IF(ISNA(VLOOKUP(I119,'Efficiency Lookup'!$D$2:$E$35,2,FALSE)),0,VLOOKUP(I119,'Efficiency Lookup'!$D$2:$E$35,2,FALSE))</f>
        <v>0.45</v>
      </c>
      <c r="AH119" s="133">
        <f t="shared" si="39"/>
        <v>0.39410841600000007</v>
      </c>
      <c r="AI119" s="140">
        <f t="shared" si="40"/>
        <v>0.70746723002345135</v>
      </c>
      <c r="AJ119" s="34">
        <f t="shared" si="41"/>
        <v>0.61959730976988914</v>
      </c>
      <c r="AK119" s="516">
        <f t="shared" si="31"/>
        <v>0.61959730976988914</v>
      </c>
      <c r="AL119" s="1121"/>
      <c r="AM119" s="1100"/>
      <c r="AN119" s="1112"/>
      <c r="AO119" s="138">
        <f>IF(ISNA(VLOOKUP(I119,'Efficiency Lookup'!$D$2:$G$35,3,FALSE)),0,VLOOKUP(I119,'Efficiency Lookup'!$D$2:$G$35,3,FALSE))</f>
        <v>0.25</v>
      </c>
      <c r="AP119" s="133">
        <f t="shared" si="42"/>
        <v>1.1385354240000001</v>
      </c>
      <c r="AQ119" s="135">
        <f t="shared" si="43"/>
        <v>0.60469711253715941</v>
      </c>
      <c r="AR119" s="34">
        <f t="shared" si="44"/>
        <v>2.7538763336562821</v>
      </c>
      <c r="AS119" s="400">
        <f t="shared" si="45"/>
        <v>2.7538763336562821</v>
      </c>
      <c r="AT119" s="1100"/>
      <c r="AU119" s="1104"/>
      <c r="AV119" s="138">
        <f>IF(ISNA(VLOOKUP(I119,'Efficiency Lookup'!$D$2:$G$35,4,FALSE)),0,VLOOKUP(I119,'Efficiency Lookup'!$D$2:$G$35,4,FALSE))</f>
        <v>0.55000000000000004</v>
      </c>
      <c r="AW119" s="133">
        <f t="shared" si="46"/>
        <v>202.74250613760003</v>
      </c>
      <c r="AX119" s="135">
        <f t="shared" si="47"/>
        <v>0.75819869593843392</v>
      </c>
      <c r="AY119" s="144">
        <f t="shared" si="48"/>
        <v>279.48927957239681</v>
      </c>
      <c r="AZ119" s="400">
        <f t="shared" si="49"/>
        <v>279.48927957239681</v>
      </c>
      <c r="BA119" s="1100"/>
      <c r="BB119" s="1104"/>
      <c r="BC119" s="1101"/>
      <c r="BD119" s="1102"/>
      <c r="BE119" s="1103"/>
      <c r="BF119" s="14"/>
      <c r="BG119" t="s">
        <v>407</v>
      </c>
    </row>
    <row r="120" spans="1:59" ht="18.600000000000001" customHeight="1" x14ac:dyDescent="0.25">
      <c r="A120" s="10" t="s">
        <v>410</v>
      </c>
      <c r="B120" s="11">
        <v>-78.434016999999997</v>
      </c>
      <c r="C120" s="11">
        <v>38.132894</v>
      </c>
      <c r="D120" s="16">
        <v>388.04</v>
      </c>
      <c r="E120" s="1048" t="s">
        <v>289</v>
      </c>
      <c r="F120" s="1048" t="s">
        <v>371</v>
      </c>
      <c r="G120" s="1021" t="s">
        <v>291</v>
      </c>
      <c r="H120" s="1021" t="s">
        <v>411</v>
      </c>
      <c r="I120" s="1021"/>
      <c r="J120" s="1015"/>
      <c r="K120" s="11">
        <v>0.28999999999999998</v>
      </c>
      <c r="L120" s="11"/>
      <c r="M120" s="11">
        <v>0.28999999999999998</v>
      </c>
      <c r="N120" s="9">
        <v>0.28999999999999998</v>
      </c>
      <c r="O120" s="7">
        <f t="shared" si="32"/>
        <v>1</v>
      </c>
      <c r="P120" s="7">
        <f t="shared" si="33"/>
        <v>1</v>
      </c>
      <c r="Q120" s="8"/>
      <c r="R120" s="8"/>
      <c r="S120" s="8"/>
      <c r="T120" s="8">
        <f t="shared" si="36"/>
        <v>0.62833836000000021</v>
      </c>
      <c r="U120" s="8">
        <f t="shared" si="34"/>
        <v>3.2673594720000012</v>
      </c>
      <c r="V120" s="8">
        <f t="shared" si="35"/>
        <v>264.4676157240001</v>
      </c>
      <c r="W120" s="8"/>
      <c r="X120" s="36" t="s">
        <v>278</v>
      </c>
      <c r="Y120" s="257">
        <v>53.1</v>
      </c>
      <c r="Z120" s="257">
        <v>0.4</v>
      </c>
      <c r="AA120" s="258">
        <f t="shared" si="37"/>
        <v>3.6570247933884296E-2</v>
      </c>
      <c r="AB120" s="742" t="s">
        <v>286</v>
      </c>
      <c r="AC120" s="134">
        <f t="shared" si="30"/>
        <v>0.5</v>
      </c>
      <c r="AD120" s="741">
        <f t="shared" ref="AD120:AD151" si="50">IF(AC120="NA",0,IF(AC120="","",T120*AC120))</f>
        <v>0.3141691800000001</v>
      </c>
      <c r="AE120" s="135">
        <v>0.65</v>
      </c>
      <c r="AF120" s="34">
        <f t="shared" si="38"/>
        <v>0.40841993400000015</v>
      </c>
      <c r="AG120" s="134">
        <f>IF(ISNA(VLOOKUP(I120,'Efficiency Lookup'!$D$2:$E$35,2,FALSE)),0,VLOOKUP(I120,'Efficiency Lookup'!$D$2:$E$35,2,FALSE))</f>
        <v>0</v>
      </c>
      <c r="AH120" s="133">
        <f t="shared" si="39"/>
        <v>0</v>
      </c>
      <c r="AI120" s="132">
        <f t="shared" si="40"/>
        <v>4.012094432096102E-2</v>
      </c>
      <c r="AJ120" s="133">
        <f t="shared" si="41"/>
        <v>2.5209528356283969E-2</v>
      </c>
      <c r="AK120" s="516">
        <f t="shared" si="31"/>
        <v>0.40841993400000015</v>
      </c>
      <c r="AL120" s="1121"/>
      <c r="AM120" s="1100"/>
      <c r="AN120" s="1112"/>
      <c r="AO120" s="138">
        <f>IF(ISNA(VLOOKUP(I120,'Efficiency Lookup'!$D$2:$G$35,3,FALSE)),0,VLOOKUP(I120,'Efficiency Lookup'!$D$2:$G$35,3,FALSE))</f>
        <v>0</v>
      </c>
      <c r="AP120" s="133">
        <f t="shared" si="42"/>
        <v>0</v>
      </c>
      <c r="AQ120" s="135">
        <f t="shared" si="43"/>
        <v>2.5512726238263055E-2</v>
      </c>
      <c r="AR120" s="34">
        <f t="shared" si="44"/>
        <v>8.335924773113175E-2</v>
      </c>
      <c r="AS120" s="400">
        <f t="shared" si="45"/>
        <v>8.335924773113175E-2</v>
      </c>
      <c r="AT120" s="1100"/>
      <c r="AU120" s="1104"/>
      <c r="AV120" s="138">
        <f>IF(ISNA(VLOOKUP(I120,'Efficiency Lookup'!$D$2:$G$35,4,FALSE)),0,VLOOKUP(I120,'Efficiency Lookup'!$D$2:$G$35,4,FALSE))</f>
        <v>0</v>
      </c>
      <c r="AW120" s="133">
        <f t="shared" si="46"/>
        <v>0</v>
      </c>
      <c r="AX120" s="135">
        <f t="shared" si="47"/>
        <v>5.1125314026239141E-2</v>
      </c>
      <c r="AY120" s="144">
        <f t="shared" si="48"/>
        <v>13.520989903660245</v>
      </c>
      <c r="AZ120" s="400">
        <f t="shared" si="49"/>
        <v>13.520989903660245</v>
      </c>
      <c r="BA120" s="1100"/>
      <c r="BB120" s="1104"/>
      <c r="BC120" s="1101"/>
      <c r="BD120" s="1102"/>
      <c r="BE120" s="1103"/>
      <c r="BF120" s="14"/>
    </row>
    <row r="121" spans="1:59" ht="18.600000000000001" customHeight="1" x14ac:dyDescent="0.25">
      <c r="A121" s="10" t="s">
        <v>412</v>
      </c>
      <c r="B121" s="11">
        <v>-78.432683999999995</v>
      </c>
      <c r="C121" s="11">
        <v>38.132250999999997</v>
      </c>
      <c r="D121" s="16">
        <v>388.05</v>
      </c>
      <c r="E121" s="1048" t="s">
        <v>289</v>
      </c>
      <c r="F121" s="1048" t="s">
        <v>413</v>
      </c>
      <c r="G121" s="1021" t="s">
        <v>291</v>
      </c>
      <c r="H121" s="1021" t="s">
        <v>411</v>
      </c>
      <c r="I121" s="1021"/>
      <c r="J121" s="1015"/>
      <c r="K121" s="11">
        <v>0.5</v>
      </c>
      <c r="L121" s="11"/>
      <c r="M121" s="9">
        <v>0</v>
      </c>
      <c r="N121" s="9">
        <v>0.39</v>
      </c>
      <c r="O121" s="7">
        <f t="shared" si="32"/>
        <v>0</v>
      </c>
      <c r="P121" s="7">
        <f t="shared" si="33"/>
        <v>0.78</v>
      </c>
      <c r="Q121" s="8"/>
      <c r="R121" s="8"/>
      <c r="S121" s="8"/>
      <c r="T121" s="8">
        <f t="shared" si="36"/>
        <v>0.85755072000000032</v>
      </c>
      <c r="U121" s="8">
        <f t="shared" si="34"/>
        <v>4.459263744000002</v>
      </c>
      <c r="V121" s="8">
        <f t="shared" si="35"/>
        <v>360.94309804800014</v>
      </c>
      <c r="W121" s="8"/>
      <c r="X121" s="36" t="s">
        <v>278</v>
      </c>
      <c r="Y121" s="257">
        <v>88.5</v>
      </c>
      <c r="Z121" s="257">
        <v>0.4</v>
      </c>
      <c r="AA121" s="258">
        <f t="shared" si="37"/>
        <v>6.0950413223140494E-2</v>
      </c>
      <c r="AB121" s="742" t="s">
        <v>286</v>
      </c>
      <c r="AC121" s="134">
        <f t="shared" si="30"/>
        <v>0.5</v>
      </c>
      <c r="AD121" s="741">
        <f t="shared" si="50"/>
        <v>0.42877536000000016</v>
      </c>
      <c r="AE121" s="135">
        <v>0.65</v>
      </c>
      <c r="AF121" s="34">
        <f t="shared" si="38"/>
        <v>0.55740796800000025</v>
      </c>
      <c r="AG121" s="134">
        <f>IF(ISNA(VLOOKUP(I121,'Efficiency Lookup'!$D$2:$E$35,2,FALSE)),0,VLOOKUP(I121,'Efficiency Lookup'!$D$2:$E$35,2,FALSE))</f>
        <v>0</v>
      </c>
      <c r="AH121" s="133">
        <f t="shared" si="39"/>
        <v>0</v>
      </c>
      <c r="AI121" s="132">
        <f t="shared" si="40"/>
        <v>6.9804535838485116E-2</v>
      </c>
      <c r="AJ121" s="133">
        <f t="shared" si="41"/>
        <v>5.9860929967558735E-2</v>
      </c>
      <c r="AK121" s="516">
        <f t="shared" si="31"/>
        <v>0.55740796800000025</v>
      </c>
      <c r="AL121" s="1121"/>
      <c r="AM121" s="1100"/>
      <c r="AN121" s="1112"/>
      <c r="AO121" s="138">
        <f>IF(ISNA(VLOOKUP(I121,'Efficiency Lookup'!$D$2:$G$35,3,FALSE)),0,VLOOKUP(I121,'Efficiency Lookup'!$D$2:$G$35,3,FALSE))</f>
        <v>0</v>
      </c>
      <c r="AP121" s="133">
        <f t="shared" si="42"/>
        <v>0</v>
      </c>
      <c r="AQ121" s="135">
        <f t="shared" si="43"/>
        <v>4.4401956897516068E-2</v>
      </c>
      <c r="AR121" s="34">
        <f t="shared" si="44"/>
        <v>0.19800003655574422</v>
      </c>
      <c r="AS121" s="400">
        <f t="shared" si="45"/>
        <v>0.19800003655574422</v>
      </c>
      <c r="AT121" s="1100"/>
      <c r="AU121" s="1104"/>
      <c r="AV121" s="138">
        <f>IF(ISNA(VLOOKUP(I121,'Efficiency Lookup'!$D$2:$G$35,4,FALSE)),0,VLOOKUP(I121,'Efficiency Lookup'!$D$2:$G$35,4,FALSE))</f>
        <v>0</v>
      </c>
      <c r="AW121" s="133">
        <f t="shared" si="46"/>
        <v>0</v>
      </c>
      <c r="AX121" s="135">
        <f t="shared" si="47"/>
        <v>8.8903521037041147E-2</v>
      </c>
      <c r="AY121" s="144">
        <f t="shared" si="48"/>
        <v>32.089112310485184</v>
      </c>
      <c r="AZ121" s="400">
        <f t="shared" si="49"/>
        <v>32.089112310485184</v>
      </c>
      <c r="BA121" s="1100"/>
      <c r="BB121" s="1104"/>
      <c r="BC121" s="1101"/>
      <c r="BD121" s="1102"/>
      <c r="BE121" s="1103"/>
      <c r="BF121" s="14"/>
    </row>
    <row r="122" spans="1:59" ht="18.600000000000001" customHeight="1" x14ac:dyDescent="0.25">
      <c r="A122" s="10" t="s">
        <v>414</v>
      </c>
      <c r="B122" s="11">
        <v>-78.432699</v>
      </c>
      <c r="C122" s="11">
        <v>38.132305000000002</v>
      </c>
      <c r="D122" s="16">
        <v>388.06</v>
      </c>
      <c r="E122" s="1048" t="s">
        <v>289</v>
      </c>
      <c r="F122" s="1048" t="s">
        <v>415</v>
      </c>
      <c r="G122" s="1021" t="s">
        <v>291</v>
      </c>
      <c r="H122" s="1021" t="s">
        <v>411</v>
      </c>
      <c r="I122" s="1021"/>
      <c r="J122" s="1015"/>
      <c r="K122" s="11">
        <v>0.19</v>
      </c>
      <c r="L122" s="11"/>
      <c r="M122" s="11">
        <v>9.4999999999999998E-3</v>
      </c>
      <c r="N122" s="9">
        <v>0.156</v>
      </c>
      <c r="O122" s="7">
        <f t="shared" si="32"/>
        <v>4.9999999999999996E-2</v>
      </c>
      <c r="P122" s="7">
        <f t="shared" si="33"/>
        <v>0.82105263157894737</v>
      </c>
      <c r="Q122" s="8"/>
      <c r="R122" s="8"/>
      <c r="S122" s="8"/>
      <c r="T122" s="8">
        <f t="shared" si="36"/>
        <v>0.34187992800000006</v>
      </c>
      <c r="U122" s="8">
        <f t="shared" si="34"/>
        <v>1.7777756256000004</v>
      </c>
      <c r="V122" s="8">
        <f t="shared" si="35"/>
        <v>143.89726169520003</v>
      </c>
      <c r="W122" s="8"/>
      <c r="X122" s="36" t="s">
        <v>278</v>
      </c>
      <c r="Y122" s="257">
        <v>35.4</v>
      </c>
      <c r="Z122" s="257">
        <v>0.4</v>
      </c>
      <c r="AA122" s="258">
        <f t="shared" si="37"/>
        <v>2.4380165289256198E-2</v>
      </c>
      <c r="AB122" s="742" t="s">
        <v>286</v>
      </c>
      <c r="AC122" s="134">
        <f t="shared" si="30"/>
        <v>0.5</v>
      </c>
      <c r="AD122" s="741">
        <f t="shared" si="50"/>
        <v>0.17093996400000003</v>
      </c>
      <c r="AE122" s="135">
        <v>0.65</v>
      </c>
      <c r="AF122" s="34">
        <f t="shared" si="38"/>
        <v>0.22222195320000004</v>
      </c>
      <c r="AG122" s="134">
        <f>IF(ISNA(VLOOKUP(I122,'Efficiency Lookup'!$D$2:$E$35,2,FALSE)),0,VLOOKUP(I122,'Efficiency Lookup'!$D$2:$E$35,2,FALSE))</f>
        <v>0</v>
      </c>
      <c r="AH122" s="133">
        <f t="shared" si="39"/>
        <v>0</v>
      </c>
      <c r="AI122" s="132">
        <f t="shared" si="40"/>
        <v>2.4727590330463324E-2</v>
      </c>
      <c r="AJ122" s="133">
        <f t="shared" si="41"/>
        <v>8.4538668017922983E-3</v>
      </c>
      <c r="AK122" s="516">
        <f t="shared" si="31"/>
        <v>0.22222195320000004</v>
      </c>
      <c r="AL122" s="1121"/>
      <c r="AM122" s="1100"/>
      <c r="AN122" s="1112"/>
      <c r="AO122" s="138">
        <f>IF(ISNA(VLOOKUP(I122,'Efficiency Lookup'!$D$2:$G$35,3,FALSE)),0,VLOOKUP(I122,'Efficiency Lookup'!$D$2:$G$35,3,FALSE))</f>
        <v>0</v>
      </c>
      <c r="AP122" s="133">
        <f t="shared" si="42"/>
        <v>0</v>
      </c>
      <c r="AQ122" s="135">
        <f t="shared" si="43"/>
        <v>1.5717141870902371E-2</v>
      </c>
      <c r="AR122" s="34">
        <f t="shared" si="44"/>
        <v>2.7941551722187423E-2</v>
      </c>
      <c r="AS122" s="400">
        <f t="shared" si="45"/>
        <v>2.7941551722187423E-2</v>
      </c>
      <c r="AT122" s="1100"/>
      <c r="AU122" s="1104"/>
      <c r="AV122" s="138">
        <f>IF(ISNA(VLOOKUP(I122,'Efficiency Lookup'!$D$2:$G$35,4,FALSE)),0,VLOOKUP(I122,'Efficiency Lookup'!$D$2:$G$35,4,FALSE))</f>
        <v>0</v>
      </c>
      <c r="AW122" s="133">
        <f t="shared" si="46"/>
        <v>0</v>
      </c>
      <c r="AX122" s="135">
        <f t="shared" si="47"/>
        <v>3.1534222888750393E-2</v>
      </c>
      <c r="AY122" s="144">
        <f t="shared" si="48"/>
        <v>4.5376883233772816</v>
      </c>
      <c r="AZ122" s="400">
        <f t="shared" si="49"/>
        <v>4.5376883233772816</v>
      </c>
      <c r="BA122" s="1100"/>
      <c r="BB122" s="1104"/>
      <c r="BC122" s="1101"/>
      <c r="BD122" s="1102"/>
      <c r="BE122" s="1103"/>
      <c r="BF122" s="14"/>
    </row>
    <row r="123" spans="1:59" ht="18.600000000000001" customHeight="1" x14ac:dyDescent="0.25">
      <c r="A123" s="10" t="s">
        <v>416</v>
      </c>
      <c r="B123" s="11">
        <v>-78.432490999999999</v>
      </c>
      <c r="C123" s="11">
        <v>38.132522999999999</v>
      </c>
      <c r="D123" s="16">
        <v>388.07</v>
      </c>
      <c r="E123" s="1048" t="s">
        <v>289</v>
      </c>
      <c r="F123" s="1048" t="s">
        <v>417</v>
      </c>
      <c r="G123" s="1021" t="s">
        <v>291</v>
      </c>
      <c r="H123" s="1021" t="s">
        <v>411</v>
      </c>
      <c r="I123" s="1021"/>
      <c r="J123" s="1015" t="s">
        <v>292</v>
      </c>
      <c r="K123" s="11">
        <v>0.2</v>
      </c>
      <c r="L123" s="11"/>
      <c r="M123" s="9">
        <v>0</v>
      </c>
      <c r="N123" s="9">
        <v>0.14000000000000001</v>
      </c>
      <c r="O123" s="7">
        <f t="shared" si="32"/>
        <v>0</v>
      </c>
      <c r="P123" s="7">
        <f t="shared" si="33"/>
        <v>0.70000000000000007</v>
      </c>
      <c r="Q123" s="8"/>
      <c r="R123" s="8"/>
      <c r="S123" s="8"/>
      <c r="T123" s="8">
        <f t="shared" si="36"/>
        <v>0.31017792000000016</v>
      </c>
      <c r="U123" s="8">
        <f t="shared" si="34"/>
        <v>1.612925184000001</v>
      </c>
      <c r="V123" s="8">
        <f t="shared" si="35"/>
        <v>130.55388652800005</v>
      </c>
      <c r="W123" s="8"/>
      <c r="X123" s="36" t="s">
        <v>278</v>
      </c>
      <c r="Y123" s="257">
        <v>47.2</v>
      </c>
      <c r="Z123" s="257">
        <v>0.4</v>
      </c>
      <c r="AA123" s="258">
        <f t="shared" si="37"/>
        <v>3.2506887052341595E-2</v>
      </c>
      <c r="AB123" s="742" t="s">
        <v>286</v>
      </c>
      <c r="AC123" s="134">
        <f t="shared" si="30"/>
        <v>0.5</v>
      </c>
      <c r="AD123" s="741">
        <f t="shared" si="50"/>
        <v>0.15508896000000008</v>
      </c>
      <c r="AE123" s="135">
        <v>0.65</v>
      </c>
      <c r="AF123" s="34">
        <f t="shared" si="38"/>
        <v>0.20161564800000012</v>
      </c>
      <c r="AG123" s="134">
        <f>IF(ISNA(VLOOKUP(I123,'Efficiency Lookup'!$D$2:$E$35,2,FALSE)),0,VLOOKUP(I123,'Efficiency Lookup'!$D$2:$E$35,2,FALSE))</f>
        <v>0</v>
      </c>
      <c r="AH123" s="133">
        <f t="shared" si="39"/>
        <v>0</v>
      </c>
      <c r="AI123" s="132">
        <f t="shared" si="40"/>
        <v>3.5031329062276968E-2</v>
      </c>
      <c r="AJ123" s="133">
        <f t="shared" si="41"/>
        <v>1.0865944783372626E-2</v>
      </c>
      <c r="AK123" s="516">
        <f t="shared" si="31"/>
        <v>0.20161564800000012</v>
      </c>
      <c r="AL123" s="1121"/>
      <c r="AM123" s="1100"/>
      <c r="AN123" s="1112"/>
      <c r="AO123" s="138">
        <f>IF(ISNA(VLOOKUP(I123,'Efficiency Lookup'!$D$2:$G$35,3,FALSE)),0,VLOOKUP(I123,'Efficiency Lookup'!$D$2:$G$35,3,FALSE))</f>
        <v>0</v>
      </c>
      <c r="AP123" s="133">
        <f t="shared" si="42"/>
        <v>0</v>
      </c>
      <c r="AQ123" s="135">
        <f t="shared" si="43"/>
        <v>2.2273940648371272E-2</v>
      </c>
      <c r="AR123" s="34">
        <f t="shared" si="44"/>
        <v>3.5926199818679332E-2</v>
      </c>
      <c r="AS123" s="400">
        <f t="shared" si="45"/>
        <v>3.5926199818679332E-2</v>
      </c>
      <c r="AT123" s="1100"/>
      <c r="AU123" s="1104"/>
      <c r="AV123" s="138">
        <f>IF(ISNA(VLOOKUP(I123,'Efficiency Lookup'!$D$2:$G$35,4,FALSE)),0,VLOOKUP(I123,'Efficiency Lookup'!$D$2:$G$35,4,FALSE))</f>
        <v>0</v>
      </c>
      <c r="AW123" s="133">
        <f t="shared" si="46"/>
        <v>0</v>
      </c>
      <c r="AX123" s="135">
        <f t="shared" si="47"/>
        <v>4.4647772303637659E-2</v>
      </c>
      <c r="AY123" s="144">
        <f t="shared" si="48"/>
        <v>5.8289401990570946</v>
      </c>
      <c r="AZ123" s="400">
        <f t="shared" si="49"/>
        <v>5.8289401990570946</v>
      </c>
      <c r="BA123" s="1100"/>
      <c r="BB123" s="1104"/>
      <c r="BC123" s="1101"/>
      <c r="BD123" s="1102"/>
      <c r="BE123" s="1103"/>
      <c r="BF123" s="14"/>
    </row>
    <row r="124" spans="1:59" ht="18.600000000000001" customHeight="1" x14ac:dyDescent="0.25">
      <c r="A124" s="11"/>
      <c r="B124" s="11">
        <v>-78.432670000000002</v>
      </c>
      <c r="C124" s="11">
        <v>38.132401000000002</v>
      </c>
      <c r="D124" s="16">
        <v>388.08</v>
      </c>
      <c r="E124" s="1048" t="s">
        <v>293</v>
      </c>
      <c r="F124" s="1048" t="s">
        <v>294</v>
      </c>
      <c r="G124" s="1018"/>
      <c r="H124" s="1021"/>
      <c r="I124" s="1021"/>
      <c r="J124" s="1015"/>
      <c r="K124" s="11">
        <v>5.64</v>
      </c>
      <c r="L124" s="11"/>
      <c r="M124" s="11"/>
      <c r="N124" s="9">
        <v>3.28</v>
      </c>
      <c r="O124" s="7">
        <f>+M124/K124</f>
        <v>0</v>
      </c>
      <c r="P124" s="7">
        <f>+N124/K124</f>
        <v>0.58156028368794321</v>
      </c>
      <c r="Q124" s="8"/>
      <c r="R124" s="8"/>
      <c r="S124" s="8"/>
      <c r="T124" s="8">
        <f>IF(J123="TT",IF(F123="u/g detention",(43*0.9*(0.05+0.9*P124)*0.26*$K124*2.72/12)-AK122,(43*0.9*(0.05+0.9*P124)*0.26*$K124*2.72/12)-SUM(AK117:AK123)),43*0.9*(0.05+0.9*P124)*0.26*$K124*2.72/12)</f>
        <v>3.7385797768712807</v>
      </c>
      <c r="U124" s="8">
        <f t="shared" si="34"/>
        <v>19.44061483973066</v>
      </c>
      <c r="V124" s="8">
        <f t="shared" si="35"/>
        <v>1573.568228085122</v>
      </c>
      <c r="W124" s="8"/>
      <c r="X124" s="36" t="s">
        <v>285</v>
      </c>
      <c r="Y124" s="257" t="s">
        <v>295</v>
      </c>
      <c r="Z124" s="257">
        <v>0.4</v>
      </c>
      <c r="AA124" s="258">
        <f t="shared" si="37"/>
        <v>0</v>
      </c>
      <c r="AB124" s="742" t="s">
        <v>286</v>
      </c>
      <c r="AC124" s="134" t="str">
        <f t="shared" si="30"/>
        <v>NA</v>
      </c>
      <c r="AD124" s="741">
        <f t="shared" si="50"/>
        <v>0</v>
      </c>
      <c r="AE124" s="134">
        <f>IF(ISNA(VLOOKUP(H124,'Efficiency Lookup'!$B$2:$C$38,2,FALSE)),0,(VLOOKUP(H124,'Efficiency Lookup'!$B$2:$C$38,2,FALSE)))</f>
        <v>0</v>
      </c>
      <c r="AF124" s="133">
        <f t="shared" si="38"/>
        <v>0</v>
      </c>
      <c r="AG124" s="134">
        <f>IF(ISNA(VLOOKUP(I124,'Efficiency Lookup'!$D$2:$E$35,2,FALSE)),0,VLOOKUP(I124,'Efficiency Lookup'!$D$2:$E$35,2,FALSE))</f>
        <v>0</v>
      </c>
      <c r="AH124" s="133">
        <f t="shared" si="39"/>
        <v>0</v>
      </c>
      <c r="AI124" s="132">
        <f t="shared" si="40"/>
        <v>0</v>
      </c>
      <c r="AJ124" s="133">
        <f t="shared" si="41"/>
        <v>0</v>
      </c>
      <c r="AK124" s="516">
        <f t="shared" si="31"/>
        <v>0</v>
      </c>
      <c r="AL124" s="1121"/>
      <c r="AM124" s="1100"/>
      <c r="AN124" s="1112"/>
      <c r="AO124" s="138">
        <f>IF(ISNA(VLOOKUP(I124,'Efficiency Lookup'!$D$2:$G$35,3,FALSE)),0,VLOOKUP(I124,'Efficiency Lookup'!$D$2:$G$35,3,FALSE))</f>
        <v>0</v>
      </c>
      <c r="AP124" s="133">
        <f t="shared" si="42"/>
        <v>0</v>
      </c>
      <c r="AQ124" s="134">
        <f t="shared" si="43"/>
        <v>0</v>
      </c>
      <c r="AR124" s="133">
        <f t="shared" si="44"/>
        <v>0</v>
      </c>
      <c r="AS124" s="400">
        <f t="shared" si="45"/>
        <v>0</v>
      </c>
      <c r="AT124" s="1100"/>
      <c r="AU124" s="1104"/>
      <c r="AV124" s="138">
        <f>IF(ISNA(VLOOKUP(I124,'Efficiency Lookup'!$D$2:$G$35,4,FALSE)),0,VLOOKUP(I124,'Efficiency Lookup'!$D$2:$G$35,4,FALSE))</f>
        <v>0</v>
      </c>
      <c r="AW124" s="133">
        <f t="shared" si="46"/>
        <v>0</v>
      </c>
      <c r="AX124" s="134">
        <f t="shared" si="47"/>
        <v>0</v>
      </c>
      <c r="AY124" s="137">
        <f t="shared" si="48"/>
        <v>0</v>
      </c>
      <c r="AZ124" s="400">
        <f t="shared" si="49"/>
        <v>0</v>
      </c>
      <c r="BA124" s="1100"/>
      <c r="BB124" s="1104"/>
      <c r="BC124" s="1101"/>
      <c r="BD124" s="1102"/>
      <c r="BE124" s="1103"/>
      <c r="BF124" s="14"/>
    </row>
    <row r="125" spans="1:59" s="268" customFormat="1" ht="18.600000000000001" customHeight="1" x14ac:dyDescent="0.25">
      <c r="A125" s="271"/>
      <c r="B125" s="283"/>
      <c r="C125" s="283"/>
      <c r="D125" s="283"/>
      <c r="E125" s="282"/>
      <c r="F125" s="282"/>
      <c r="G125" s="282"/>
      <c r="H125" s="263"/>
      <c r="I125" s="263"/>
      <c r="J125" s="282"/>
      <c r="K125" s="271"/>
      <c r="L125" s="271"/>
      <c r="M125" s="271"/>
      <c r="N125" s="272"/>
      <c r="O125" s="273"/>
      <c r="P125" s="273"/>
      <c r="Q125" s="264"/>
      <c r="R125" s="264"/>
      <c r="S125" s="264"/>
      <c r="T125" s="264"/>
      <c r="U125" s="264"/>
      <c r="V125" s="264"/>
      <c r="W125" s="264"/>
      <c r="X125" s="264"/>
      <c r="Y125" s="265"/>
      <c r="Z125" s="265"/>
      <c r="AA125" s="264"/>
      <c r="AB125" s="743" t="s">
        <v>297</v>
      </c>
      <c r="AC125" s="751" t="str">
        <f t="shared" si="30"/>
        <v/>
      </c>
      <c r="AD125" s="303" t="str">
        <f t="shared" si="50"/>
        <v/>
      </c>
      <c r="AE125" s="274"/>
      <c r="AF125" s="266"/>
      <c r="AG125" s="303"/>
      <c r="AH125" s="274"/>
      <c r="AI125" s="303"/>
      <c r="AJ125" s="274"/>
      <c r="AK125" s="328" t="str">
        <f t="shared" si="31"/>
        <v/>
      </c>
      <c r="AO125" s="329"/>
      <c r="AP125" s="303"/>
      <c r="AQ125" s="303"/>
      <c r="AR125" s="303"/>
      <c r="AS125" s="326"/>
      <c r="AU125" s="267"/>
      <c r="AV125" s="329"/>
      <c r="AW125" s="303"/>
      <c r="AX125" s="303"/>
      <c r="AY125" s="285"/>
      <c r="AZ125" s="280"/>
      <c r="BA125" s="264"/>
      <c r="BB125" s="331"/>
      <c r="BE125" s="331"/>
      <c r="BF125" s="277"/>
      <c r="BG125" s="284"/>
    </row>
    <row r="126" spans="1:59" ht="18.600000000000001" customHeight="1" x14ac:dyDescent="0.25">
      <c r="A126" s="11" t="s">
        <v>418</v>
      </c>
      <c r="B126" s="11"/>
      <c r="C126" s="11"/>
      <c r="D126" s="1111" t="s">
        <v>271</v>
      </c>
      <c r="E126" s="1065"/>
      <c r="F126" s="1019"/>
      <c r="G126" s="1019"/>
      <c r="H126" s="1021"/>
      <c r="I126" s="1021"/>
      <c r="J126" s="1019"/>
      <c r="K126" s="11">
        <v>54</v>
      </c>
      <c r="L126" s="11"/>
      <c r="M126" s="11">
        <v>0</v>
      </c>
      <c r="N126" s="9">
        <v>21.18</v>
      </c>
      <c r="O126" s="7">
        <f>+M126/K126</f>
        <v>0</v>
      </c>
      <c r="P126" s="7">
        <f>+N126/K126</f>
        <v>0.39222222222222219</v>
      </c>
      <c r="Q126" s="8">
        <f>43*0.9*(0.05+0.9*0.16)*0.26*$K126*2.72/12</f>
        <v>23.892822720000002</v>
      </c>
      <c r="R126" s="39">
        <f>43*0.9*(0.05+0.9*O126)*0.26*$K126*2.72/12</f>
        <v>6.1579440000000014</v>
      </c>
      <c r="S126" s="8">
        <f>IF(J126="R",R126,Q126)</f>
        <v>23.892822720000002</v>
      </c>
      <c r="T126" s="8">
        <f>43*0.9*(0.05+0.9*P126)*0.26*$K126*2.72/12</f>
        <v>49.633028640000013</v>
      </c>
      <c r="U126" s="8">
        <f>T126*5.2</f>
        <v>258.09174892800007</v>
      </c>
      <c r="V126" s="8">
        <f>T126*420.9</f>
        <v>20890.541754576003</v>
      </c>
      <c r="W126" s="8">
        <f>IF(P126 &lt; 16%, 0, IF(K126 &lt; 1, 0, T126-S126))</f>
        <v>25.740205920000012</v>
      </c>
      <c r="X126" s="37"/>
      <c r="Y126" s="1048"/>
      <c r="Z126" s="1048"/>
      <c r="AA126" s="8"/>
      <c r="AB126" s="744" t="s">
        <v>297</v>
      </c>
      <c r="AC126" s="750" t="str">
        <f t="shared" si="30"/>
        <v/>
      </c>
      <c r="AD126" s="39" t="str">
        <f t="shared" si="50"/>
        <v/>
      </c>
      <c r="AE126" s="133"/>
      <c r="AF126" s="34"/>
      <c r="AG126" s="39"/>
      <c r="AH126" s="133"/>
      <c r="AI126" s="39"/>
      <c r="AJ126" s="133"/>
      <c r="AK126" s="327" t="str">
        <f t="shared" si="31"/>
        <v/>
      </c>
      <c r="AO126" s="589"/>
      <c r="AP126" s="39"/>
      <c r="AQ126" s="39"/>
      <c r="AR126" s="39"/>
      <c r="AS126" s="306"/>
      <c r="AU126" s="28"/>
      <c r="AV126" s="589"/>
      <c r="AW126" s="39"/>
      <c r="AX126" s="39"/>
      <c r="AY126" s="136"/>
      <c r="AZ126" s="146"/>
      <c r="BA126" s="8"/>
      <c r="BB126" s="143"/>
      <c r="BE126" s="143"/>
      <c r="BF126" s="14" t="s">
        <v>419</v>
      </c>
      <c r="BG126" t="s">
        <v>405</v>
      </c>
    </row>
    <row r="127" spans="1:59" ht="18.600000000000001" customHeight="1" x14ac:dyDescent="0.25">
      <c r="A127" s="11"/>
      <c r="B127" s="11">
        <v>-78.446104000000005</v>
      </c>
      <c r="C127" s="11">
        <v>38.023541999999999</v>
      </c>
      <c r="D127" s="16">
        <v>142.02000000000001</v>
      </c>
      <c r="E127" s="1048" t="s">
        <v>274</v>
      </c>
      <c r="F127" s="1015" t="s">
        <v>275</v>
      </c>
      <c r="G127" s="1015"/>
      <c r="H127" s="1021" t="s">
        <v>276</v>
      </c>
      <c r="I127" s="1021" t="s">
        <v>277</v>
      </c>
      <c r="J127" s="1015"/>
      <c r="K127" s="11">
        <v>65.989999999999995</v>
      </c>
      <c r="L127" s="11"/>
      <c r="M127" s="11">
        <v>4.9000000000000004</v>
      </c>
      <c r="N127" s="9">
        <v>26</v>
      </c>
      <c r="O127" s="7">
        <f>+M127/K127</f>
        <v>7.4253674799212008E-2</v>
      </c>
      <c r="P127" s="7">
        <f>+N127/K127</f>
        <v>0.393999090771329</v>
      </c>
      <c r="Q127" s="8"/>
      <c r="R127" s="8"/>
      <c r="S127" s="8"/>
      <c r="T127" s="8">
        <f>IF(J126="TT",IF(F126="u/g detention",(43*0.9*(0.05+0.9*P127)*0.26*$K127*2.72/12)-AK125,(43*0.9*(0.05+0.9*P127)*0.26*$K127*2.72/12)-AK126),43*0.9*(0.05+0.9*P127)*0.26*$K127*2.72/12)</f>
        <v>60.894083640000019</v>
      </c>
      <c r="U127" s="8">
        <f>T127*5.2</f>
        <v>316.64923492800011</v>
      </c>
      <c r="V127" s="8">
        <f>T127*420.9</f>
        <v>25630.319804076007</v>
      </c>
      <c r="W127" s="8"/>
      <c r="X127" s="36" t="s">
        <v>278</v>
      </c>
      <c r="Y127" s="257">
        <v>605919.6</v>
      </c>
      <c r="Z127" s="257">
        <v>26</v>
      </c>
      <c r="AA127" s="258">
        <f>IF(Y127="NA", 0, (Y127/43560)*12/Z127)</f>
        <v>6.4200000000000008</v>
      </c>
      <c r="AB127" s="742" t="s">
        <v>296</v>
      </c>
      <c r="AC127" s="134" t="str">
        <f t="shared" si="30"/>
        <v>NA</v>
      </c>
      <c r="AD127" s="741">
        <f t="shared" si="50"/>
        <v>0</v>
      </c>
      <c r="AE127" s="135">
        <f>IF(ISNA(VLOOKUP(H127,'Efficiency Lookup'!$B$2:$C$38,2,FALSE)),0,(VLOOKUP(H127,'Efficiency Lookup'!$B$2:$C$38,2,FALSE)))</f>
        <v>0.65</v>
      </c>
      <c r="AF127" s="34">
        <f>T127*AE127</f>
        <v>39.581154366000014</v>
      </c>
      <c r="AG127" s="134">
        <f>IF(ISNA(VLOOKUP(I127,'Efficiency Lookup'!$D$2:$E$35,2,FALSE)),0,VLOOKUP(I127,'Efficiency Lookup'!$D$2:$E$35,2,FALSE))</f>
        <v>0.45</v>
      </c>
      <c r="AH127" s="133">
        <f>T127*AG127</f>
        <v>27.402337638000009</v>
      </c>
      <c r="AI127" s="132">
        <f>IF(X127="RR",IF((0.0304*(AA127^5)-0.2619*(AA127^4)+0.9161*(AA127^3)-1.6837*(AA127^2)+1.7072*AA127-0.0091)&gt;0.85,0.85,IF((0.0304*(AA127^5)-0.2619*(AA127^4)+0.9161*(AA127^3)-1.6837*(AA127^2)+1.7072*AA127-0.0091)&lt;0,0,(0.0304*(AA127^5)-0.2619*(AA127^4)+0.9161*(AA127^3)-1.6837*(AA127^2)+1.7072*AA127-0.0091))),IF((0.0239*(AA127^5)-0.2058*(AA127^4)+0.7198*(AA127^3)-1.3229*(AA127^2)+1.3414*AA127-0.0072)&gt;0.65,0.65,IF((0.0239*(AA127^5)-0.2058*(AA127^4)+0.7198*(AA127^3)-1.3229*(AA127^2)+1.3414*AA127-0.0072)&lt;0,0,(0.0239*(AA127^5)-0.2058*(AA127^4)+0.7198*(AA127^3)-1.3229*(AA127^2)+1.3414*AA127-0.0072))))</f>
        <v>0.65</v>
      </c>
      <c r="AJ127" s="133">
        <f>T127*AI127</f>
        <v>39.581154366000014</v>
      </c>
      <c r="AK127" s="516">
        <f t="shared" si="31"/>
        <v>39.581154366000014</v>
      </c>
      <c r="AL127" s="34">
        <f>AK127</f>
        <v>39.581154366000014</v>
      </c>
      <c r="AM127" s="313">
        <f>AL127-W126</f>
        <v>13.840948446000002</v>
      </c>
      <c r="AN127" s="288">
        <f>AM127/AL127</f>
        <v>0.34968531534010283</v>
      </c>
      <c r="AO127" s="138">
        <f>IF(ISNA(VLOOKUP(I127,'Efficiency Lookup'!$D$2:$G$35,3,FALSE)),0,VLOOKUP(I127,'Efficiency Lookup'!$D$2:$G$35,3,FALSE))</f>
        <v>0.2</v>
      </c>
      <c r="AP127" s="133">
        <f>U127*AO127</f>
        <v>63.329846985600028</v>
      </c>
      <c r="AQ127" s="135">
        <f>IF(X127="RR",IF((0.0308*(AA127^5)-0.2562*(AA127^4)+0.8634*(AA127^3)-1.5285*(AA127^2)+1.501*AA127-0.013)&gt;0.7,0.7,IF((0.0308*(AA127^5)-0.2562*(AA127^4)+0.8634*(AA127^3)-1.5285*(AA127^2)+1.501*AA127-0.013)&lt;0,0,(0.0308*(AA127^5)-0.2562*(AA127^4)+0.8634*(AA127^3)-1.5285*(AA127^2)+1.501*AA127-0.013))),IF((0.0152*(AA127^5)-0.131*(AA127^4)+0.4581*(AA127^3)-0.8418*(AA127^2)+0.8536*AA127-0.0046)&gt;0.65,0.65,IF((0.0152*(AA127^5)-0.131*(AA127^4)+0.4581*(AA127^3)-0.8418*(AA127^2)+0.8536*AA127-0.0046)&lt;0,0,(0.0152*(AA127^5)-0.131*(AA127^4)+0.4581*(AA127^3)-0.8418*(AA127^2)+0.8536*AA127-0.0046))))</f>
        <v>0.65</v>
      </c>
      <c r="AR127" s="34">
        <f>U127*AQ127</f>
        <v>205.82200270320007</v>
      </c>
      <c r="AS127" s="400">
        <f>IF(AK127=AF127,MAX(AP127,AR127),IF(AK127=AH127,AP127,AR127))</f>
        <v>205.82200270320007</v>
      </c>
      <c r="AT127" s="313">
        <f>AS127</f>
        <v>205.82200270320007</v>
      </c>
      <c r="AU127" s="313">
        <f>AT127*AN127</f>
        <v>71.972931919200008</v>
      </c>
      <c r="AV127" s="138">
        <f>IF(ISNA(VLOOKUP(I127,'Efficiency Lookup'!$D$2:$G$35,4,FALSE)),0,VLOOKUP(I127,'Efficiency Lookup'!$D$2:$G$35,4,FALSE))</f>
        <v>0.6</v>
      </c>
      <c r="AW127" s="133">
        <f>$V127*AV127</f>
        <v>15378.191882445604</v>
      </c>
      <c r="AX127" s="135">
        <f>IF(X127="RR",IF((0.0326*(AA127^5)-0.2806*(AA127^4)+0.9816*(AA127^3)-1.8039*(AA127^2)+1.8292*AA127-0.0098)&gt;0.85,0.85,IF((0.0326*(AA127^5)-0.2806*(AA127^4)+0.9816*(AA127^3)-1.8039*(AA127^2)+1.8292*AA127-0.0098)&lt;0,0,(0.0326*(AA127^5)-0.2806*(AA127^4)+0.9816*(AA127^3)-1.8039*(AA127^2)+1.8292*AA127-0.0098))),IF((0.0304*(AA127^5)-0.2619*(AA127^4)+0.9161*(AA127^3)-1.6837*(AA127^2)+1.7072*AA127-0.0091)&gt;0.8,0.8,IF((0.0304*(AA127^5)-0.2619*(AA127^4)+0.9161*(AA127^3)-1.6837*(AA127^2)+1.7072*AA127-0.0091)&lt;0,0,(0.0304*(AA127^5)-0.2619*(AA127^4)+0.9161*(AA127^3)-1.6837*(AA127^2)+1.7072*AA127-0.0091))))</f>
        <v>0.8</v>
      </c>
      <c r="AY127" s="144">
        <f>$V127*AX127</f>
        <v>20504.255843260806</v>
      </c>
      <c r="AZ127" s="400">
        <f>IF(AS127=AP127,AW127,AY127)</f>
        <v>20504.255843260806</v>
      </c>
      <c r="BA127" s="313">
        <f>AZ127</f>
        <v>20504.255843260806</v>
      </c>
      <c r="BB127" s="401">
        <f>BA127*AN127</f>
        <v>7170.0371703648007</v>
      </c>
      <c r="BC127" s="318">
        <f>AM127</f>
        <v>13.840948446000002</v>
      </c>
      <c r="BD127" s="318">
        <f>AU127</f>
        <v>71.972931919200008</v>
      </c>
      <c r="BE127" s="332">
        <f>BB127</f>
        <v>7170.0371703648007</v>
      </c>
      <c r="BF127" s="14"/>
      <c r="BG127" t="s">
        <v>407</v>
      </c>
    </row>
    <row r="128" spans="1:59" s="268" customFormat="1" ht="18.600000000000001" customHeight="1" x14ac:dyDescent="0.25">
      <c r="B128" s="271"/>
      <c r="C128" s="271"/>
      <c r="G128" s="277"/>
      <c r="H128" s="263"/>
      <c r="I128" s="263"/>
      <c r="Q128" s="264"/>
      <c r="S128" s="264"/>
      <c r="T128" s="264"/>
      <c r="U128" s="264"/>
      <c r="V128" s="264"/>
      <c r="W128" s="264"/>
      <c r="X128" s="264"/>
      <c r="Y128" s="265"/>
      <c r="Z128" s="265"/>
      <c r="AA128" s="264"/>
      <c r="AB128" s="743" t="s">
        <v>297</v>
      </c>
      <c r="AC128" s="751" t="str">
        <f t="shared" si="30"/>
        <v/>
      </c>
      <c r="AD128" s="303" t="str">
        <f t="shared" si="50"/>
        <v/>
      </c>
      <c r="AE128" s="274"/>
      <c r="AF128" s="266"/>
      <c r="AG128" s="303"/>
      <c r="AH128" s="274"/>
      <c r="AI128" s="303"/>
      <c r="AJ128" s="274"/>
      <c r="AK128" s="328" t="str">
        <f t="shared" si="31"/>
        <v/>
      </c>
      <c r="AO128" s="329"/>
      <c r="AP128" s="303"/>
      <c r="AQ128" s="303"/>
      <c r="AR128" s="303"/>
      <c r="AS128" s="326"/>
      <c r="AV128" s="329"/>
      <c r="AW128" s="303"/>
      <c r="AX128" s="303"/>
      <c r="AY128" s="285"/>
      <c r="AZ128" s="326"/>
      <c r="BB128" s="331"/>
      <c r="BE128" s="331"/>
    </row>
    <row r="129" spans="1:59" ht="18.600000000000001" customHeight="1" x14ac:dyDescent="0.25">
      <c r="A129" s="11" t="s">
        <v>420</v>
      </c>
      <c r="B129" s="11"/>
      <c r="C129" s="11"/>
      <c r="D129" s="1111" t="s">
        <v>271</v>
      </c>
      <c r="E129" s="1065"/>
      <c r="F129" s="1019"/>
      <c r="G129" s="1019"/>
      <c r="H129" s="1021"/>
      <c r="I129" s="1021"/>
      <c r="J129" s="1019"/>
      <c r="K129" s="11">
        <v>1.22</v>
      </c>
      <c r="L129" s="11"/>
      <c r="M129" s="11">
        <v>0</v>
      </c>
      <c r="N129" s="9">
        <v>0.56999999999999995</v>
      </c>
      <c r="O129" s="7">
        <f>+M129/K129</f>
        <v>0</v>
      </c>
      <c r="P129" s="7">
        <f>+N129/K129</f>
        <v>0.46721311475409832</v>
      </c>
      <c r="Q129" s="8">
        <f>43*0.9*(0.05+0.9*0.16)*0.26*$K129*2.72/12</f>
        <v>0.5398008096000001</v>
      </c>
      <c r="R129" s="39">
        <f>43*0.9*(0.05+0.9*O129)*0.26*$K129*2.72/12</f>
        <v>0.13912392000000004</v>
      </c>
      <c r="S129" s="8">
        <f>IF(J129="R",R129,Q129)</f>
        <v>0.5398008096000001</v>
      </c>
      <c r="T129" s="8">
        <f>43*0.9*(0.05+0.9*P129)*0.26*$K129*2.72/12</f>
        <v>1.3091332800000004</v>
      </c>
      <c r="U129" s="8">
        <f>T129*5.2</f>
        <v>6.807493056000002</v>
      </c>
      <c r="V129" s="8">
        <f>T129*420.9</f>
        <v>551.01419755200016</v>
      </c>
      <c r="W129" s="8">
        <f>IF(P129 &lt; 16%, 0, IF(K129 &lt; 1, 0, T129-S129))</f>
        <v>0.7693324704000003</v>
      </c>
      <c r="X129" s="8"/>
      <c r="Y129" s="257"/>
      <c r="Z129" s="257"/>
      <c r="AA129" s="8"/>
      <c r="AB129" s="744" t="s">
        <v>297</v>
      </c>
      <c r="AC129" s="750" t="str">
        <f t="shared" si="30"/>
        <v/>
      </c>
      <c r="AD129" s="39" t="str">
        <f t="shared" si="50"/>
        <v/>
      </c>
      <c r="AE129" s="133"/>
      <c r="AF129" s="34"/>
      <c r="AG129" s="39"/>
      <c r="AH129" s="133"/>
      <c r="AI129" s="39"/>
      <c r="AJ129" s="133"/>
      <c r="AK129" s="327" t="str">
        <f t="shared" si="31"/>
        <v/>
      </c>
      <c r="AO129" s="589"/>
      <c r="AP129" s="39"/>
      <c r="AQ129" s="39"/>
      <c r="AR129" s="39"/>
      <c r="AS129" s="306"/>
      <c r="AU129" s="28"/>
      <c r="AV129" s="589"/>
      <c r="AW129" s="39"/>
      <c r="AX129" s="39"/>
      <c r="AY129" s="136"/>
      <c r="AZ129" s="146"/>
      <c r="BA129" s="8"/>
      <c r="BB129" s="143"/>
      <c r="BE129" s="143"/>
      <c r="BF129" s="14" t="s">
        <v>421</v>
      </c>
      <c r="BG129" t="s">
        <v>422</v>
      </c>
    </row>
    <row r="130" spans="1:59" ht="18.600000000000001" customHeight="1" x14ac:dyDescent="0.25">
      <c r="A130" s="10" t="s">
        <v>320</v>
      </c>
      <c r="B130" s="11">
        <v>-78.499142000000006</v>
      </c>
      <c r="C130" s="11">
        <v>38.003613000000001</v>
      </c>
      <c r="D130" s="13">
        <v>364.01</v>
      </c>
      <c r="E130" s="1048" t="s">
        <v>331</v>
      </c>
      <c r="F130" s="1048" t="s">
        <v>423</v>
      </c>
      <c r="G130" s="1048"/>
      <c r="H130" s="1021" t="s">
        <v>367</v>
      </c>
      <c r="I130" s="1021" t="s">
        <v>334</v>
      </c>
      <c r="J130" s="1048" t="s">
        <v>301</v>
      </c>
      <c r="K130" s="11">
        <v>1.22</v>
      </c>
      <c r="L130" s="11"/>
      <c r="M130" s="11">
        <v>0</v>
      </c>
      <c r="N130" s="11">
        <v>0.56999999999999995</v>
      </c>
      <c r="O130" s="7">
        <f>+M130/K130</f>
        <v>0</v>
      </c>
      <c r="P130" s="7">
        <f>+N130/K130</f>
        <v>0.46721311475409832</v>
      </c>
      <c r="Q130" s="8"/>
      <c r="R130" s="8"/>
      <c r="S130" s="8"/>
      <c r="T130" s="8">
        <f>IF(J129="TT",IF(F129="u/g detention",(43*0.9*(0.05+0.9*P130)*0.26*$K130*2.72/12)-AK128,(43*0.9*(0.05+0.9*P130)*0.26*$K130*2.72/12)-AK129),43*0.9*(0.05+0.9*P130)*0.26*$K130*2.72/12)</f>
        <v>1.3091332800000004</v>
      </c>
      <c r="U130" s="8">
        <f>T130*5.2</f>
        <v>6.807493056000002</v>
      </c>
      <c r="V130" s="8">
        <f>T130*420.9</f>
        <v>551.01419755200016</v>
      </c>
      <c r="W130" s="8"/>
      <c r="X130" s="36" t="s">
        <v>278</v>
      </c>
      <c r="Y130" s="257" t="s">
        <v>295</v>
      </c>
      <c r="Z130" s="257" t="s">
        <v>295</v>
      </c>
      <c r="AA130" s="258">
        <f>IF(Y130="NA", 0, (Y130/43560)*12/Z130)</f>
        <v>0</v>
      </c>
      <c r="AB130" s="742" t="s">
        <v>296</v>
      </c>
      <c r="AC130" s="134" t="str">
        <f t="shared" si="30"/>
        <v>NA</v>
      </c>
      <c r="AD130" s="741">
        <f t="shared" si="50"/>
        <v>0</v>
      </c>
      <c r="AE130" s="134">
        <f>IF(ISNA(VLOOKUP(H130,'Efficiency Lookup'!$B$2:$C$38,2,FALSE)),0,(VLOOKUP(H130,'Efficiency Lookup'!$B$2:$C$38,2,FALSE)))</f>
        <v>0.35</v>
      </c>
      <c r="AF130" s="133">
        <f>T130*AE130</f>
        <v>0.4581966480000001</v>
      </c>
      <c r="AG130" s="135">
        <f>IF(ISNA(VLOOKUP(I130,'Efficiency Lookup'!$D$2:$E$35,2,FALSE)),0,VLOOKUP(I130,'Efficiency Lookup'!$D$2:$E$35,2,FALSE))</f>
        <v>0.75</v>
      </c>
      <c r="AH130" s="34">
        <f>T130*AG130</f>
        <v>0.98184996000000035</v>
      </c>
      <c r="AI130" s="132">
        <f>IF(X130="RR",IF((0.0304*(AA130^5)-0.2619*(AA130^4)+0.9161*(AA130^3)-1.6837*(AA130^2)+1.7072*AA130-0.0091)&gt;0.85,0.85,IF((0.0304*(AA130^5)-0.2619*(AA130^4)+0.9161*(AA130^3)-1.6837*(AA130^2)+1.7072*AA130-0.0091)&lt;0,0,(0.0304*(AA130^5)-0.2619*(AA130^4)+0.9161*(AA130^3)-1.6837*(AA130^2)+1.7072*AA130-0.0091))),IF((0.0239*(AA130^5)-0.2058*(AA130^4)+0.7198*(AA130^3)-1.3229*(AA130^2)+1.3414*AA130-0.0072)&gt;0.65,0.65,IF((0.0239*(AA130^5)-0.2058*(AA130^4)+0.7198*(AA130^3)-1.3229*(AA130^2)+1.3414*AA130-0.0072)&lt;0,0,(0.0239*(AA130^5)-0.2058*(AA130^4)+0.7198*(AA130^3)-1.3229*(AA130^2)+1.3414*AA130-0.0072))))</f>
        <v>0</v>
      </c>
      <c r="AJ130" s="133">
        <f>T130*AI130</f>
        <v>0</v>
      </c>
      <c r="AK130" s="516">
        <f t="shared" si="31"/>
        <v>0.98184996000000035</v>
      </c>
      <c r="AL130" s="34">
        <f>AK130</f>
        <v>0.98184996000000035</v>
      </c>
      <c r="AM130" s="313">
        <f>AL130-W129</f>
        <v>0.21251748960000005</v>
      </c>
      <c r="AN130" s="288">
        <f>AM130/AL130</f>
        <v>0.21644599303135886</v>
      </c>
      <c r="AO130" s="147">
        <f>IF(ISNA(VLOOKUP(I130,'Efficiency Lookup'!$D$2:$G$35,3,FALSE)),0,VLOOKUP(I130,'Efficiency Lookup'!$D$2:$G$35,3,FALSE))</f>
        <v>0.7</v>
      </c>
      <c r="AP130" s="34">
        <f>U130*AO130</f>
        <v>4.765245139200001</v>
      </c>
      <c r="AQ130" s="134">
        <f>IF(X130="RR",IF((0.0308*(AA130^5)-0.2562*(AA130^4)+0.8634*(AA130^3)-1.5285*(AA130^2)+1.501*AA130-0.013)&gt;0.7,0.7,IF((0.0308*(AA130^5)-0.2562*(AA130^4)+0.8634*(AA130^3)-1.5285*(AA130^2)+1.501*AA130-0.013)&lt;0,0,(0.0308*(AA130^5)-0.2562*(AA130^4)+0.8634*(AA130^3)-1.5285*(AA130^2)+1.501*AA130-0.013))),IF((0.0152*(AA130^5)-0.131*(AA130^4)+0.4581*(AA130^3)-0.8418*(AA130^2)+0.8536*AA130-0.0046)&gt;0.65,0.65,IF((0.0152*(AA130^5)-0.131*(AA130^4)+0.4581*(AA130^3)-0.8418*(AA130^2)+0.8536*AA130-0.0046)&lt;0,0,(0.0152*(AA130^5)-0.131*(AA130^4)+0.4581*(AA130^3)-0.8418*(AA130^2)+0.8536*AA130-0.0046))))</f>
        <v>0</v>
      </c>
      <c r="AR130" s="133">
        <f>U130*AQ130</f>
        <v>0</v>
      </c>
      <c r="AS130" s="400">
        <f>IF(AK130=AF130,MAX(AP130,AR130),IF(AK130=AH130,AP130,AR130))</f>
        <v>4.765245139200001</v>
      </c>
      <c r="AT130" s="313">
        <f>AS130</f>
        <v>4.765245139200001</v>
      </c>
      <c r="AU130" s="313">
        <f>AT130*AN130</f>
        <v>1.031418216192</v>
      </c>
      <c r="AV130" s="147">
        <f>IF(ISNA(VLOOKUP(I130,'Efficiency Lookup'!$D$2:$G$35,4,FALSE)),0,VLOOKUP(I130,'Efficiency Lookup'!$D$2:$G$35,4,FALSE))</f>
        <v>0.8</v>
      </c>
      <c r="AW130" s="34">
        <f>$V130*AV130</f>
        <v>440.81135804160016</v>
      </c>
      <c r="AX130" s="134">
        <f>IF(X130="RR",IF((0.0326*(AA130^5)-0.2806*(AA130^4)+0.9816*(AA130^3)-1.8039*(AA130^2)+1.8292*AA130-0.0098)&gt;0.85,0.85,IF((0.0326*(AA130^5)-0.2806*(AA130^4)+0.9816*(AA130^3)-1.8039*(AA130^2)+1.8292*AA130-0.0098)&lt;0,0,(0.0326*(AA130^5)-0.2806*(AA130^4)+0.9816*(AA130^3)-1.8039*(AA130^2)+1.8292*AA130-0.0098))),IF((0.0304*(AA130^5)-0.2619*(AA130^4)+0.9161*(AA130^3)-1.6837*(AA130^2)+1.7072*AA130-0.0091)&gt;0.8,0.8,IF((0.0304*(AA130^5)-0.2619*(AA130^4)+0.9161*(AA130^3)-1.6837*(AA130^2)+1.7072*AA130-0.0091)&lt;0,0,(0.0304*(AA130^5)-0.2619*(AA130^4)+0.9161*(AA130^3)-1.6837*(AA130^2)+1.7072*AA130-0.0091))))</f>
        <v>0</v>
      </c>
      <c r="AY130" s="137">
        <f>$V130*AX130</f>
        <v>0</v>
      </c>
      <c r="AZ130" s="400">
        <f>IF(AS130=AP130,AW130,AY130)</f>
        <v>440.81135804160016</v>
      </c>
      <c r="BA130" s="313">
        <f>AZ130</f>
        <v>440.81135804160016</v>
      </c>
      <c r="BB130" s="401">
        <f>BA130*AN130</f>
        <v>95.41185213081603</v>
      </c>
      <c r="BC130" s="318">
        <f>AM130</f>
        <v>0.21251748960000005</v>
      </c>
      <c r="BD130" s="318">
        <f>AU130</f>
        <v>1.031418216192</v>
      </c>
      <c r="BE130" s="332">
        <f>BB130</f>
        <v>95.41185213081603</v>
      </c>
      <c r="BF130" s="14"/>
      <c r="BG130" t="s">
        <v>287</v>
      </c>
    </row>
    <row r="131" spans="1:59" s="268" customFormat="1" ht="18.600000000000001" customHeight="1" x14ac:dyDescent="0.25">
      <c r="A131" s="269"/>
      <c r="B131" s="278"/>
      <c r="C131" s="278"/>
      <c r="D131" s="278"/>
      <c r="E131" s="262"/>
      <c r="F131" s="262"/>
      <c r="G131" s="262"/>
      <c r="H131" s="263"/>
      <c r="I131" s="263"/>
      <c r="J131" s="262"/>
      <c r="K131" s="271"/>
      <c r="L131" s="271"/>
      <c r="M131" s="271"/>
      <c r="N131" s="271"/>
      <c r="O131" s="273"/>
      <c r="P131" s="273"/>
      <c r="Q131" s="264"/>
      <c r="R131" s="264"/>
      <c r="S131" s="264"/>
      <c r="T131" s="264"/>
      <c r="U131" s="264"/>
      <c r="V131" s="264"/>
      <c r="W131" s="264"/>
      <c r="X131" s="304"/>
      <c r="Y131" s="265"/>
      <c r="Z131" s="265"/>
      <c r="AA131" s="321"/>
      <c r="AB131" s="747" t="s">
        <v>297</v>
      </c>
      <c r="AC131" s="322" t="str">
        <f t="shared" si="30"/>
        <v/>
      </c>
      <c r="AD131" s="754" t="str">
        <f t="shared" si="50"/>
        <v/>
      </c>
      <c r="AE131" s="322"/>
      <c r="AF131" s="266"/>
      <c r="AG131" s="322"/>
      <c r="AH131" s="274"/>
      <c r="AI131" s="320"/>
      <c r="AJ131" s="274"/>
      <c r="AK131" s="325" t="str">
        <f t="shared" si="31"/>
        <v/>
      </c>
      <c r="AO131" s="333"/>
      <c r="AP131" s="274"/>
      <c r="AQ131" s="322"/>
      <c r="AR131" s="274"/>
      <c r="AS131" s="326"/>
      <c r="AU131" s="316"/>
      <c r="AV131" s="333"/>
      <c r="AW131" s="274"/>
      <c r="AX131" s="322"/>
      <c r="AY131" s="275"/>
      <c r="AZ131" s="280"/>
      <c r="BA131" s="264"/>
      <c r="BB131" s="331"/>
      <c r="BE131" s="331"/>
      <c r="BF131" s="277"/>
    </row>
    <row r="132" spans="1:59" ht="18.600000000000001" customHeight="1" x14ac:dyDescent="0.25">
      <c r="A132" s="11" t="s">
        <v>424</v>
      </c>
      <c r="B132" s="11"/>
      <c r="C132" s="11"/>
      <c r="D132" s="1111" t="s">
        <v>271</v>
      </c>
      <c r="E132" s="1116"/>
      <c r="F132" s="1019"/>
      <c r="G132" s="1019"/>
      <c r="H132" s="1021"/>
      <c r="I132" s="1021"/>
      <c r="J132" s="1019"/>
      <c r="K132" s="11">
        <v>6.75</v>
      </c>
      <c r="L132" s="11"/>
      <c r="M132" s="11">
        <v>0</v>
      </c>
      <c r="N132" s="9">
        <v>1.31</v>
      </c>
      <c r="O132" s="7">
        <f>+M132/K132</f>
        <v>0</v>
      </c>
      <c r="P132" s="7">
        <f>+N132/K132</f>
        <v>0.19407407407407409</v>
      </c>
      <c r="Q132" s="8">
        <f>43*0.9*(0.05+0.9*0.16)*0.26*$K132*2.72/12</f>
        <v>2.9866028400000002</v>
      </c>
      <c r="R132" s="39">
        <f>43*0.9*(0.05+0.9*O132)*0.26*$K132*2.72/12</f>
        <v>0.76974300000000018</v>
      </c>
      <c r="S132" s="8">
        <f>IF(J132="R",R132,Q132)</f>
        <v>2.9866028400000002</v>
      </c>
      <c r="T132" s="8">
        <f>43*0.9*(0.05+0.9*P132)*0.26*$K132*2.72/12</f>
        <v>3.458711880000001</v>
      </c>
      <c r="U132" s="8">
        <f>T132*5.2</f>
        <v>17.985301776000007</v>
      </c>
      <c r="V132" s="8">
        <f>T132*420.9</f>
        <v>1455.7718302920002</v>
      </c>
      <c r="W132" s="8">
        <f>IF(P132 &lt; 16%, 0, IF(K132 &lt; 1, 0, T132-S132))</f>
        <v>0.47210904000000076</v>
      </c>
      <c r="X132" s="8"/>
      <c r="Y132" s="257"/>
      <c r="Z132" s="257"/>
      <c r="AA132" s="8"/>
      <c r="AB132" s="744" t="s">
        <v>297</v>
      </c>
      <c r="AC132" s="750" t="str">
        <f t="shared" si="30"/>
        <v/>
      </c>
      <c r="AD132" s="39" t="str">
        <f t="shared" si="50"/>
        <v/>
      </c>
      <c r="AE132" s="133"/>
      <c r="AF132" s="34"/>
      <c r="AG132" s="39"/>
      <c r="AH132" s="133"/>
      <c r="AI132" s="39"/>
      <c r="AJ132" s="133"/>
      <c r="AK132" s="327" t="str">
        <f t="shared" si="31"/>
        <v/>
      </c>
      <c r="AO132" s="589"/>
      <c r="AP132" s="39"/>
      <c r="AQ132" s="39"/>
      <c r="AR132" s="39"/>
      <c r="AS132" s="306"/>
      <c r="AU132" s="28"/>
      <c r="AV132" s="589"/>
      <c r="AW132" s="39"/>
      <c r="AX132" s="39"/>
      <c r="AY132" s="136"/>
      <c r="AZ132" s="146"/>
      <c r="BA132" s="8"/>
      <c r="BB132" s="143"/>
      <c r="BE132" s="143"/>
      <c r="BF132" s="14" t="s">
        <v>425</v>
      </c>
      <c r="BG132" t="s">
        <v>426</v>
      </c>
    </row>
    <row r="133" spans="1:59" ht="18.600000000000001" customHeight="1" x14ac:dyDescent="0.25">
      <c r="A133" s="5"/>
      <c r="B133" s="11">
        <v>-78.447315000000003</v>
      </c>
      <c r="C133" s="11">
        <v>38.100597999999998</v>
      </c>
      <c r="D133" s="29">
        <v>344.04</v>
      </c>
      <c r="E133" s="1048" t="s">
        <v>274</v>
      </c>
      <c r="F133" s="1048" t="s">
        <v>275</v>
      </c>
      <c r="G133" s="1048"/>
      <c r="H133" s="1021" t="s">
        <v>276</v>
      </c>
      <c r="I133" s="1021" t="s">
        <v>277</v>
      </c>
      <c r="J133" s="1048"/>
      <c r="K133" s="11">
        <v>4.7300000000000004</v>
      </c>
      <c r="L133" s="11"/>
      <c r="M133" s="11">
        <v>0</v>
      </c>
      <c r="N133" s="11">
        <v>0.66</v>
      </c>
      <c r="O133" s="27">
        <f>+M133/K133</f>
        <v>0</v>
      </c>
      <c r="P133" s="27">
        <f>+N133/K133</f>
        <v>0.13953488372093023</v>
      </c>
      <c r="Q133" s="8"/>
      <c r="R133" s="8"/>
      <c r="S133" s="8"/>
      <c r="T133" s="8">
        <f>IF(J132="TT",IF(F132="u/g detention",(43*0.9*(0.05+0.9*P133)*0.26*$K133*2.72/12)-AK131,(43*0.9*(0.05+0.9*P133)*0.26*$K133*2.72/12)-AK132),43*0.9*(0.05+0.9*P133)*0.26*$K133*2.72/12)</f>
        <v>1.8941379600000003</v>
      </c>
      <c r="U133" s="8">
        <f>T133*5.2</f>
        <v>9.8495173920000028</v>
      </c>
      <c r="V133" s="8">
        <f>T133*420.9</f>
        <v>797.24266736400011</v>
      </c>
      <c r="W133" s="8"/>
      <c r="X133" s="36" t="s">
        <v>278</v>
      </c>
      <c r="Y133" s="257" t="s">
        <v>295</v>
      </c>
      <c r="Z133" s="257" t="s">
        <v>295</v>
      </c>
      <c r="AA133" s="258">
        <f>IF(Y133="NA", 0, (Y133/43560)*12/Z133)</f>
        <v>0</v>
      </c>
      <c r="AB133" s="742" t="s">
        <v>296</v>
      </c>
      <c r="AC133" s="134" t="str">
        <f t="shared" si="30"/>
        <v>NA</v>
      </c>
      <c r="AD133" s="741">
        <f t="shared" si="50"/>
        <v>0</v>
      </c>
      <c r="AE133" s="135">
        <f>IF(ISNA(VLOOKUP(H133,'Efficiency Lookup'!$B$2:$C$38,2,FALSE)),0,(VLOOKUP(H133,'Efficiency Lookup'!$B$2:$C$38,2,FALSE)))</f>
        <v>0.65</v>
      </c>
      <c r="AF133" s="34">
        <f>T133*AE133</f>
        <v>1.2311896740000003</v>
      </c>
      <c r="AG133" s="134">
        <f>IF(ISNA(VLOOKUP(I133,'Efficiency Lookup'!$D$2:$E$35,2,FALSE)),0,VLOOKUP(I133,'Efficiency Lookup'!$D$2:$E$35,2,FALSE))</f>
        <v>0.45</v>
      </c>
      <c r="AH133" s="133">
        <f>T133*AG133</f>
        <v>0.85236208200000019</v>
      </c>
      <c r="AI133" s="132">
        <f>IF(X133="RR",IF((0.0304*(AA133^5)-0.2619*(AA133^4)+0.9161*(AA133^3)-1.6837*(AA133^2)+1.7072*AA133-0.0091)&gt;0.85,0.85,IF((0.0304*(AA133^5)-0.2619*(AA133^4)+0.9161*(AA133^3)-1.6837*(AA133^2)+1.7072*AA133-0.0091)&lt;0,0,(0.0304*(AA133^5)-0.2619*(AA133^4)+0.9161*(AA133^3)-1.6837*(AA133^2)+1.7072*AA133-0.0091))),IF((0.0239*(AA133^5)-0.2058*(AA133^4)+0.7198*(AA133^3)-1.3229*(AA133^2)+1.3414*AA133-0.0072)&gt;0.65,0.65,IF((0.0239*(AA133^5)-0.2058*(AA133^4)+0.7198*(AA133^3)-1.3229*(AA133^2)+1.3414*AA133-0.0072)&lt;0,0,(0.0239*(AA133^5)-0.2058*(AA133^4)+0.7198*(AA133^3)-1.3229*(AA133^2)+1.3414*AA133-0.0072))))</f>
        <v>0</v>
      </c>
      <c r="AJ133" s="133">
        <f>T133*AI133</f>
        <v>0</v>
      </c>
      <c r="AK133" s="516">
        <f t="shared" si="31"/>
        <v>1.2311896740000003</v>
      </c>
      <c r="AL133" s="34">
        <f>AK133</f>
        <v>1.2311896740000003</v>
      </c>
      <c r="AM133" s="313">
        <f>AL133-W132</f>
        <v>0.75908063399999959</v>
      </c>
      <c r="AN133" s="288">
        <f>AM133/AL133</f>
        <v>0.61654239799935118</v>
      </c>
      <c r="AO133" s="147">
        <f>IF(ISNA(VLOOKUP(I133,'Efficiency Lookup'!$D$2:$G$35,3,FALSE)),0,VLOOKUP(I133,'Efficiency Lookup'!$D$2:$G$35,3,FALSE))</f>
        <v>0.2</v>
      </c>
      <c r="AP133" s="34">
        <f>U133*AO133</f>
        <v>1.9699034784000007</v>
      </c>
      <c r="AQ133" s="134">
        <f>IF(X133="RR",IF((0.0308*(AA133^5)-0.2562*(AA133^4)+0.8634*(AA133^3)-1.5285*(AA133^2)+1.501*AA133-0.013)&gt;0.7,0.7,IF((0.0308*(AA133^5)-0.2562*(AA133^4)+0.8634*(AA133^3)-1.5285*(AA133^2)+1.501*AA133-0.013)&lt;0,0,(0.0308*(AA133^5)-0.2562*(AA133^4)+0.8634*(AA133^3)-1.5285*(AA133^2)+1.501*AA133-0.013))),IF((0.0152*(AA133^5)-0.131*(AA133^4)+0.4581*(AA133^3)-0.8418*(AA133^2)+0.8536*AA133-0.0046)&gt;0.65,0.65,IF((0.0152*(AA133^5)-0.131*(AA133^4)+0.4581*(AA133^3)-0.8418*(AA133^2)+0.8536*AA133-0.0046)&lt;0,0,(0.0152*(AA133^5)-0.131*(AA133^4)+0.4581*(AA133^3)-0.8418*(AA133^2)+0.8536*AA133-0.0046))))</f>
        <v>0</v>
      </c>
      <c r="AR133" s="133">
        <f>U133*AQ133</f>
        <v>0</v>
      </c>
      <c r="AS133" s="400">
        <f>IF(AK133=AF133,MAX(AP133,AR133),IF(AK133=AH133,AP133,AR133))</f>
        <v>1.9699034784000007</v>
      </c>
      <c r="AT133" s="313">
        <f>AS133</f>
        <v>1.9699034784000007</v>
      </c>
      <c r="AU133" s="313">
        <f>AT133*AN133</f>
        <v>1.2145290143999996</v>
      </c>
      <c r="AV133" s="147">
        <f>IF(ISNA(VLOOKUP(I133,'Efficiency Lookup'!$D$2:$G$35,4,FALSE)),0,VLOOKUP(I133,'Efficiency Lookup'!$D$2:$G$35,4,FALSE))</f>
        <v>0.6</v>
      </c>
      <c r="AW133" s="34">
        <f>$V133*AV133</f>
        <v>478.34560041840007</v>
      </c>
      <c r="AX133" s="134">
        <f>IF(X133="RR",IF((0.0326*(AA133^5)-0.2806*(AA133^4)+0.9816*(AA133^3)-1.8039*(AA133^2)+1.8292*AA133-0.0098)&gt;0.85,0.85,IF((0.0326*(AA133^5)-0.2806*(AA133^4)+0.9816*(AA133^3)-1.8039*(AA133^2)+1.8292*AA133-0.0098)&lt;0,0,(0.0326*(AA133^5)-0.2806*(AA133^4)+0.9816*(AA133^3)-1.8039*(AA133^2)+1.8292*AA133-0.0098))),IF((0.0304*(AA133^5)-0.2619*(AA133^4)+0.9161*(AA133^3)-1.6837*(AA133^2)+1.7072*AA133-0.0091)&gt;0.8,0.8,IF((0.0304*(AA133^5)-0.2619*(AA133^4)+0.9161*(AA133^3)-1.6837*(AA133^2)+1.7072*AA133-0.0091)&lt;0,0,(0.0304*(AA133^5)-0.2619*(AA133^4)+0.9161*(AA133^3)-1.6837*(AA133^2)+1.7072*AA133-0.0091))))</f>
        <v>0</v>
      </c>
      <c r="AY133" s="137">
        <f>$V133*AX133</f>
        <v>0</v>
      </c>
      <c r="AZ133" s="400">
        <f>IF(AS133=AP133,AW133,AY133)</f>
        <v>478.34560041840007</v>
      </c>
      <c r="BA133" s="313">
        <f>AZ133</f>
        <v>478.34560041840007</v>
      </c>
      <c r="BB133" s="401">
        <f>BA133*AN133</f>
        <v>294.92034355439984</v>
      </c>
      <c r="BC133" s="318">
        <f>AM133</f>
        <v>0.75908063399999959</v>
      </c>
      <c r="BD133" s="318">
        <f>AU133</f>
        <v>1.2145290143999996</v>
      </c>
      <c r="BE133" s="332">
        <f>BB133</f>
        <v>294.92034355439984</v>
      </c>
      <c r="BF133" s="14"/>
      <c r="BG133" t="s">
        <v>427</v>
      </c>
    </row>
    <row r="134" spans="1:59" s="268" customFormat="1" ht="18.600000000000001" customHeight="1" x14ac:dyDescent="0.25">
      <c r="A134" s="269"/>
      <c r="B134" s="278"/>
      <c r="C134" s="278"/>
      <c r="D134" s="278"/>
      <c r="E134" s="262"/>
      <c r="F134" s="262"/>
      <c r="G134" s="262"/>
      <c r="H134" s="263"/>
      <c r="I134" s="263"/>
      <c r="J134" s="262"/>
      <c r="K134" s="271"/>
      <c r="L134" s="271"/>
      <c r="M134" s="271"/>
      <c r="N134" s="271"/>
      <c r="O134" s="273"/>
      <c r="P134" s="273"/>
      <c r="Q134" s="264"/>
      <c r="R134" s="264"/>
      <c r="S134" s="264"/>
      <c r="T134" s="264"/>
      <c r="U134" s="264"/>
      <c r="V134" s="264"/>
      <c r="W134" s="264"/>
      <c r="X134" s="304"/>
      <c r="Y134" s="265"/>
      <c r="Z134" s="265"/>
      <c r="AA134" s="321"/>
      <c r="AB134" s="747" t="s">
        <v>297</v>
      </c>
      <c r="AC134" s="322" t="str">
        <f t="shared" si="30"/>
        <v/>
      </c>
      <c r="AD134" s="754" t="str">
        <f t="shared" si="50"/>
        <v/>
      </c>
      <c r="AE134" s="322"/>
      <c r="AF134" s="266"/>
      <c r="AG134" s="322"/>
      <c r="AH134" s="274"/>
      <c r="AI134" s="320"/>
      <c r="AJ134" s="274"/>
      <c r="AK134" s="325" t="str">
        <f t="shared" si="31"/>
        <v/>
      </c>
      <c r="AL134" s="410"/>
      <c r="AO134" s="333"/>
      <c r="AP134" s="274"/>
      <c r="AQ134" s="322"/>
      <c r="AR134" s="274"/>
      <c r="AS134" s="587"/>
      <c r="AT134" s="410"/>
      <c r="AU134" s="406"/>
      <c r="AV134" s="333"/>
      <c r="AW134" s="274"/>
      <c r="AX134" s="322"/>
      <c r="AY134" s="275"/>
      <c r="AZ134" s="280"/>
      <c r="BA134" s="264"/>
      <c r="BB134" s="411"/>
      <c r="BE134" s="331"/>
      <c r="BF134" s="277"/>
    </row>
    <row r="135" spans="1:59" ht="18.600000000000001" customHeight="1" x14ac:dyDescent="0.25">
      <c r="A135" s="11" t="s">
        <v>428</v>
      </c>
      <c r="B135" s="11"/>
      <c r="C135" s="11"/>
      <c r="D135" s="1111" t="s">
        <v>271</v>
      </c>
      <c r="E135" s="1116"/>
      <c r="F135" s="1019"/>
      <c r="G135" s="1019"/>
      <c r="H135" s="1021"/>
      <c r="I135" s="1021"/>
      <c r="J135" s="1015" t="s">
        <v>348</v>
      </c>
      <c r="K135" s="11">
        <v>69.5</v>
      </c>
      <c r="L135" s="11"/>
      <c r="M135" s="11">
        <v>13.98</v>
      </c>
      <c r="N135" s="9">
        <v>14.34</v>
      </c>
      <c r="O135" s="7">
        <f>+M135/K135</f>
        <v>0.20115107913669064</v>
      </c>
      <c r="P135" s="7">
        <f>+N135/K135</f>
        <v>0.20633093525179855</v>
      </c>
      <c r="Q135" s="39">
        <f>43*0.9*(0.05+0.9*0.16)*0.26*$K135*2.72/12</f>
        <v>30.750947760000006</v>
      </c>
      <c r="R135" s="8">
        <f>43*0.9*(0.05+0.9*O135)*0.26*$K135*2.72/12</f>
        <v>36.621521040000012</v>
      </c>
      <c r="S135" s="8">
        <f>IF(J135="R",R135,Q135)</f>
        <v>36.621521040000012</v>
      </c>
      <c r="T135" s="8">
        <f>43*0.9*(0.05+0.9*P135)*0.26*$K135*2.72/12</f>
        <v>37.360474320000002</v>
      </c>
      <c r="U135" s="8">
        <f>T135*5.2</f>
        <v>194.27446646400003</v>
      </c>
      <c r="V135" s="8">
        <f>T135*420.9</f>
        <v>15725.023641288</v>
      </c>
      <c r="W135" s="8">
        <f>IF(P135 &lt; 16%, 0, IF(K135 &lt; 1, 0, T135-S135))</f>
        <v>0.73895327999998983</v>
      </c>
      <c r="X135" s="36"/>
      <c r="Y135" s="257"/>
      <c r="Z135" s="257"/>
      <c r="AA135" s="258"/>
      <c r="AB135" s="742" t="s">
        <v>297</v>
      </c>
      <c r="AC135" s="134" t="str">
        <f t="shared" si="30"/>
        <v/>
      </c>
      <c r="AD135" s="741" t="str">
        <f t="shared" si="50"/>
        <v/>
      </c>
      <c r="AE135" s="134"/>
      <c r="AF135" s="34"/>
      <c r="AG135" s="134"/>
      <c r="AH135" s="133"/>
      <c r="AI135" s="132"/>
      <c r="AJ135" s="133"/>
      <c r="AK135" s="324" t="str">
        <f t="shared" si="31"/>
        <v/>
      </c>
      <c r="AL135" s="17"/>
      <c r="AO135" s="138"/>
      <c r="AP135" s="133"/>
      <c r="AQ135" s="134"/>
      <c r="AR135" s="133"/>
      <c r="AS135" s="400"/>
      <c r="AT135" s="17"/>
      <c r="AU135" s="407"/>
      <c r="AV135" s="138"/>
      <c r="AW135" s="133"/>
      <c r="AX135" s="134"/>
      <c r="AY135" s="137"/>
      <c r="AZ135" s="146"/>
      <c r="BA135" s="8"/>
      <c r="BB135" s="412"/>
      <c r="BE135" s="143"/>
      <c r="BF135" s="14"/>
    </row>
    <row r="136" spans="1:59" ht="18.600000000000001" customHeight="1" x14ac:dyDescent="0.25">
      <c r="A136" s="5"/>
      <c r="B136" s="11">
        <v>-78.490323000000004</v>
      </c>
      <c r="C136" s="11">
        <v>37.998773999999997</v>
      </c>
      <c r="D136" s="29">
        <v>104.04</v>
      </c>
      <c r="E136" s="1048" t="s">
        <v>331</v>
      </c>
      <c r="F136" s="1048"/>
      <c r="G136" s="1048"/>
      <c r="H136" s="1021" t="s">
        <v>367</v>
      </c>
      <c r="I136" s="1021" t="s">
        <v>334</v>
      </c>
      <c r="J136" s="1048"/>
      <c r="K136" s="11">
        <v>0.88</v>
      </c>
      <c r="L136" s="11"/>
      <c r="M136" s="11">
        <v>0</v>
      </c>
      <c r="N136" s="11">
        <v>0.8</v>
      </c>
      <c r="O136" s="27">
        <f>+M136/K136</f>
        <v>0</v>
      </c>
      <c r="P136" s="27">
        <f>+N136/K136</f>
        <v>0.90909090909090917</v>
      </c>
      <c r="Q136" s="8"/>
      <c r="R136" s="8"/>
      <c r="S136" s="8"/>
      <c r="T136" s="8">
        <f>IF(J135="TT",IF(F135="u/g detention",(43*0.9*(0.05+0.9*P136)*0.26*$K136*2.72/12)-AK134,(43*0.9*(0.05+0.9*P136)*0.26*$K136*2.72/12)-AK135),43*0.9*(0.05+0.9*P136)*0.26*$K136*2.72/12)</f>
        <v>1.7424700800000004</v>
      </c>
      <c r="U136" s="8">
        <f>T136*5.2</f>
        <v>9.0608444160000019</v>
      </c>
      <c r="V136" s="8">
        <f>T136*420.9</f>
        <v>733.40565667200008</v>
      </c>
      <c r="W136" s="8"/>
      <c r="X136" s="36" t="s">
        <v>285</v>
      </c>
      <c r="Y136" s="257" t="s">
        <v>295</v>
      </c>
      <c r="Z136" s="257" t="s">
        <v>295</v>
      </c>
      <c r="AA136" s="258">
        <f>IF(Y136="NA", 0, (Y136/43560)*12/Z136)</f>
        <v>0</v>
      </c>
      <c r="AB136" s="742" t="s">
        <v>296</v>
      </c>
      <c r="AC136" s="134" t="str">
        <f t="shared" si="30"/>
        <v>NA</v>
      </c>
      <c r="AD136" s="741">
        <f t="shared" si="50"/>
        <v>0</v>
      </c>
      <c r="AE136" s="135">
        <f>IF(ISNA(VLOOKUP(H136,'Efficiency Lookup'!$B$2:$C$38,2,FALSE)),0,(VLOOKUP(H136,'Efficiency Lookup'!$B$2:$C$38,2,FALSE)))</f>
        <v>0.35</v>
      </c>
      <c r="AF136" s="34">
        <f>T136*AE136</f>
        <v>0.60986452800000013</v>
      </c>
      <c r="AG136" s="134">
        <f>IF(ISNA(VLOOKUP(I136,'Efficiency Lookup'!$D$2:$E$35,2,FALSE)),0,VLOOKUP(I136,'Efficiency Lookup'!$D$2:$E$35,2,FALSE))</f>
        <v>0.75</v>
      </c>
      <c r="AH136" s="133">
        <f>T136*AG136</f>
        <v>1.3068525600000003</v>
      </c>
      <c r="AI136" s="132">
        <f>IF(X136="RR",IF((0.0304*(AA136^5)-0.2619*(AA136^4)+0.9161*(AA136^3)-1.6837*(AA136^2)+1.7072*AA136-0.0091)&gt;0.85,0.85,IF((0.0304*(AA136^5)-0.2619*(AA136^4)+0.9161*(AA136^3)-1.6837*(AA136^2)+1.7072*AA136-0.0091)&lt;0,0,(0.0304*(AA136^5)-0.2619*(AA136^4)+0.9161*(AA136^3)-1.6837*(AA136^2)+1.7072*AA136-0.0091))),IF((0.0239*(AA136^5)-0.2058*(AA136^4)+0.7198*(AA136^3)-1.3229*(AA136^2)+1.3414*AA136-0.0072)&gt;0.65,0.65,IF((0.0239*(AA136^5)-0.2058*(AA136^4)+0.7198*(AA136^3)-1.3229*(AA136^2)+1.3414*AA136-0.0072)&lt;0,0,(0.0239*(AA136^5)-0.2058*(AA136^4)+0.7198*(AA136^3)-1.3229*(AA136^2)+1.3414*AA136-0.0072))))</f>
        <v>0</v>
      </c>
      <c r="AJ136" s="133">
        <f>T136*AI136</f>
        <v>0</v>
      </c>
      <c r="AK136" s="516">
        <f t="shared" si="31"/>
        <v>1.3068525600000003</v>
      </c>
      <c r="AL136" s="34">
        <f>AK136</f>
        <v>1.3068525600000003</v>
      </c>
      <c r="AM136" s="313">
        <f>AL136-W135</f>
        <v>0.56789928000001044</v>
      </c>
      <c r="AN136" s="288">
        <f>AM136/AL136</f>
        <v>0.43455497382199743</v>
      </c>
      <c r="AO136" s="147">
        <f>IF(ISNA(VLOOKUP(I136,'Efficiency Lookup'!$D$2:$G$35,3,FALSE)),0,VLOOKUP(I136,'Efficiency Lookup'!$D$2:$G$35,3,FALSE))</f>
        <v>0.7</v>
      </c>
      <c r="AP136" s="34">
        <f>U136*AO136</f>
        <v>6.342591091200001</v>
      </c>
      <c r="AQ136" s="134">
        <f>IF(X136="RR",IF((0.0308*(AA136^5)-0.2562*(AA136^4)+0.8634*(AA136^3)-1.5285*(AA136^2)+1.501*AA136-0.013)&gt;0.7,0.7,IF((0.0308*(AA136^5)-0.2562*(AA136^4)+0.8634*(AA136^3)-1.5285*(AA136^2)+1.501*AA136-0.013)&lt;0,0,(0.0308*(AA136^5)-0.2562*(AA136^4)+0.8634*(AA136^3)-1.5285*(AA136^2)+1.501*AA136-0.013))),IF((0.0152*(AA136^5)-0.131*(AA136^4)+0.4581*(AA136^3)-0.8418*(AA136^2)+0.8536*AA136-0.0046)&gt;0.65,0.65,IF((0.0152*(AA136^5)-0.131*(AA136^4)+0.4581*(AA136^3)-0.8418*(AA136^2)+0.8536*AA136-0.0046)&lt;0,0,(0.0152*(AA136^5)-0.131*(AA136^4)+0.4581*(AA136^3)-0.8418*(AA136^2)+0.8536*AA136-0.0046))))</f>
        <v>0</v>
      </c>
      <c r="AR136" s="133">
        <f>U136*AQ136</f>
        <v>0</v>
      </c>
      <c r="AS136" s="400">
        <f>IF(AK136=AF136,MAX(AP136,AR136),IF(AK136=AH136,AP136,AR136))</f>
        <v>6.342591091200001</v>
      </c>
      <c r="AT136" s="313">
        <f>AS136</f>
        <v>6.342591091200001</v>
      </c>
      <c r="AU136" s="313">
        <f>AT136*AN136</f>
        <v>2.7562045056000506</v>
      </c>
      <c r="AV136" s="147">
        <f>IF(ISNA(VLOOKUP(I136,'Efficiency Lookup'!$D$2:$G$35,4,FALSE)),0,VLOOKUP(I136,'Efficiency Lookup'!$D$2:$G$35,4,FALSE))</f>
        <v>0.8</v>
      </c>
      <c r="AW136" s="34">
        <f>$V136*AV136</f>
        <v>586.72452533760008</v>
      </c>
      <c r="AX136" s="134">
        <f>IF(X136="RR",IF((0.0326*(AA136^5)-0.2806*(AA136^4)+0.9816*(AA136^3)-1.8039*(AA136^2)+1.8292*AA136-0.0098)&gt;0.85,0.85,IF((0.0326*(AA136^5)-0.2806*(AA136^4)+0.9816*(AA136^3)-1.8039*(AA136^2)+1.8292*AA136-0.0098)&lt;0,0,(0.0326*(AA136^5)-0.2806*(AA136^4)+0.9816*(AA136^3)-1.8039*(AA136^2)+1.8292*AA136-0.0098))),IF((0.0304*(AA136^5)-0.2619*(AA136^4)+0.9161*(AA136^3)-1.6837*(AA136^2)+1.7072*AA136-0.0091)&gt;0.8,0.8,IF((0.0304*(AA136^5)-0.2619*(AA136^4)+0.9161*(AA136^3)-1.6837*(AA136^2)+1.7072*AA136-0.0091)&lt;0,0,(0.0304*(AA136^5)-0.2619*(AA136^4)+0.9161*(AA136^3)-1.6837*(AA136^2)+1.7072*AA136-0.0091))))</f>
        <v>0</v>
      </c>
      <c r="AY136" s="137">
        <f>$V136*AX136</f>
        <v>0</v>
      </c>
      <c r="AZ136" s="400">
        <f>IF(AS136=AP136,AW136,AY136)</f>
        <v>586.72452533760008</v>
      </c>
      <c r="BA136" s="313">
        <f>AZ136</f>
        <v>586.72452533760008</v>
      </c>
      <c r="BB136" s="401">
        <f>BA136*AN136</f>
        <v>254.96406074880468</v>
      </c>
      <c r="BC136" s="318">
        <f>AM136</f>
        <v>0.56789928000001044</v>
      </c>
      <c r="BD136" s="318">
        <f>AU136</f>
        <v>2.7562045056000506</v>
      </c>
      <c r="BE136" s="332">
        <f>BB136</f>
        <v>254.96406074880468</v>
      </c>
      <c r="BF136" s="14"/>
    </row>
    <row r="137" spans="1:59" s="268" customFormat="1" ht="18.600000000000001" customHeight="1" x14ac:dyDescent="0.25">
      <c r="A137" s="269"/>
      <c r="B137" s="281"/>
      <c r="C137" s="281"/>
      <c r="D137" s="281"/>
      <c r="E137" s="262" t="s">
        <v>429</v>
      </c>
      <c r="F137" s="262"/>
      <c r="G137" s="262"/>
      <c r="H137" s="263"/>
      <c r="I137" s="263"/>
      <c r="J137" s="262"/>
      <c r="K137" s="271"/>
      <c r="L137" s="271"/>
      <c r="M137" s="271"/>
      <c r="N137" s="271"/>
      <c r="O137" s="273"/>
      <c r="P137" s="273"/>
      <c r="Q137" s="264"/>
      <c r="R137" s="264"/>
      <c r="S137" s="264"/>
      <c r="T137" s="264"/>
      <c r="U137" s="264"/>
      <c r="V137" s="264"/>
      <c r="W137" s="264"/>
      <c r="X137" s="264"/>
      <c r="Y137" s="265"/>
      <c r="Z137" s="265"/>
      <c r="AA137" s="264"/>
      <c r="AB137" s="743" t="s">
        <v>297</v>
      </c>
      <c r="AC137" s="751" t="str">
        <f t="shared" si="30"/>
        <v/>
      </c>
      <c r="AD137" s="303" t="str">
        <f t="shared" si="50"/>
        <v/>
      </c>
      <c r="AE137" s="274"/>
      <c r="AF137" s="266"/>
      <c r="AG137" s="303"/>
      <c r="AH137" s="274"/>
      <c r="AI137" s="303"/>
      <c r="AJ137" s="274"/>
      <c r="AK137" s="328" t="str">
        <f t="shared" si="31"/>
        <v/>
      </c>
      <c r="AL137" s="410"/>
      <c r="AO137" s="329"/>
      <c r="AP137" s="303"/>
      <c r="AQ137" s="303"/>
      <c r="AR137" s="303"/>
      <c r="AS137" s="587"/>
      <c r="AT137" s="410"/>
      <c r="AU137" s="408"/>
      <c r="AV137" s="329"/>
      <c r="AW137" s="303"/>
      <c r="AX137" s="303"/>
      <c r="AY137" s="285"/>
      <c r="AZ137" s="280"/>
      <c r="BA137" s="264"/>
      <c r="BB137" s="411"/>
      <c r="BE137" s="331"/>
      <c r="BF137" s="277"/>
    </row>
    <row r="138" spans="1:59" ht="18.600000000000001" customHeight="1" x14ac:dyDescent="0.25">
      <c r="A138" s="11" t="s">
        <v>430</v>
      </c>
      <c r="B138" s="11"/>
      <c r="C138" s="11"/>
      <c r="D138" s="1111" t="s">
        <v>271</v>
      </c>
      <c r="E138" s="1116"/>
      <c r="F138" s="1019"/>
      <c r="G138" s="1019"/>
      <c r="H138" s="1021"/>
      <c r="I138" s="1021"/>
      <c r="J138" s="1019"/>
      <c r="K138" s="11">
        <v>9.9</v>
      </c>
      <c r="L138" s="11"/>
      <c r="M138" s="11">
        <v>0.26</v>
      </c>
      <c r="N138" s="9">
        <v>5.2</v>
      </c>
      <c r="O138" s="7">
        <f>+M138/K138</f>
        <v>2.6262626262626262E-2</v>
      </c>
      <c r="P138" s="7">
        <f>+N138/K138</f>
        <v>0.5252525252525253</v>
      </c>
      <c r="Q138" s="8">
        <f>43*0.9*(0.05+0.9*0.16)*0.26*$K138*2.72/12</f>
        <v>4.3803508320000004</v>
      </c>
      <c r="R138" s="39">
        <f>43*0.9*(0.05+0.9*O138)*0.26*$K138*2.72/12</f>
        <v>1.6626448800000002</v>
      </c>
      <c r="S138" s="8">
        <f>IF(J138="R",R138,Q138)</f>
        <v>4.3803508320000004</v>
      </c>
      <c r="T138" s="8">
        <f>43*0.9*(0.05+0.9*P138)*0.26*$K138*2.72/12</f>
        <v>11.802726000000005</v>
      </c>
      <c r="U138" s="8">
        <f>T138*5.2</f>
        <v>61.374175200000032</v>
      </c>
      <c r="V138" s="8">
        <f>T138*420.9</f>
        <v>4967.7673734000018</v>
      </c>
      <c r="W138" s="8">
        <f>IF(P138 &lt; 16%, 0, IF(K138 &lt; 1, 0, T138-S138))</f>
        <v>7.4223751680000047</v>
      </c>
      <c r="X138" s="8"/>
      <c r="Y138" s="257"/>
      <c r="Z138" s="257"/>
      <c r="AA138" s="8"/>
      <c r="AB138" s="744" t="s">
        <v>297</v>
      </c>
      <c r="AC138" s="750" t="str">
        <f t="shared" si="30"/>
        <v/>
      </c>
      <c r="AD138" s="39" t="str">
        <f t="shared" si="50"/>
        <v/>
      </c>
      <c r="AE138" s="133"/>
      <c r="AF138" s="34"/>
      <c r="AG138" s="39"/>
      <c r="AH138" s="133"/>
      <c r="AI138" s="39"/>
      <c r="AJ138" s="133"/>
      <c r="AK138" s="327" t="str">
        <f t="shared" si="31"/>
        <v/>
      </c>
      <c r="AL138" s="17"/>
      <c r="AO138" s="589"/>
      <c r="AP138" s="39"/>
      <c r="AQ138" s="39"/>
      <c r="AR138" s="39"/>
      <c r="AS138" s="400"/>
      <c r="AT138" s="313"/>
      <c r="AU138" s="409"/>
      <c r="AV138" s="589"/>
      <c r="AW138" s="39"/>
      <c r="AX138" s="39"/>
      <c r="AY138" s="136"/>
      <c r="AZ138" s="146"/>
      <c r="BA138" s="8"/>
      <c r="BB138" s="412"/>
      <c r="BE138" s="143"/>
      <c r="BF138" s="14"/>
    </row>
    <row r="139" spans="1:59" ht="18.600000000000001" customHeight="1" x14ac:dyDescent="0.25">
      <c r="A139" s="5"/>
      <c r="B139" s="11">
        <v>-78.468306999999996</v>
      </c>
      <c r="C139" s="11">
        <v>38.090584999999997</v>
      </c>
      <c r="D139" s="26">
        <v>401.01</v>
      </c>
      <c r="E139" s="1048" t="s">
        <v>281</v>
      </c>
      <c r="F139" s="1048" t="s">
        <v>342</v>
      </c>
      <c r="G139" s="1048"/>
      <c r="H139" s="1021" t="s">
        <v>343</v>
      </c>
      <c r="I139" s="1021" t="s">
        <v>315</v>
      </c>
      <c r="J139" s="1048"/>
      <c r="K139" s="11">
        <v>10.9</v>
      </c>
      <c r="L139" s="11"/>
      <c r="M139" s="11">
        <v>1.38</v>
      </c>
      <c r="N139" s="11">
        <v>6.33</v>
      </c>
      <c r="O139" s="7">
        <f>+M139/K139</f>
        <v>0.12660550458715594</v>
      </c>
      <c r="P139" s="7">
        <f>+N139/K139</f>
        <v>0.58073394495412844</v>
      </c>
      <c r="Q139" s="8"/>
      <c r="R139" s="8"/>
      <c r="S139" s="8"/>
      <c r="T139" s="8">
        <f>IF(J138="TT",IF(F138="u/g detention",(43*0.9*(0.05+0.9*P139)*0.26*$K139*2.72/12)-AK137,(43*0.9*(0.05+0.9*P139)*0.26*$K139*2.72/12)-AK138),43*0.9*(0.05+0.9*P139)*0.26*$K139*2.72/12)</f>
        <v>14.236254240000006</v>
      </c>
      <c r="U139" s="8">
        <f>T139*5.2</f>
        <v>74.028522048000042</v>
      </c>
      <c r="V139" s="8">
        <f>T139*420.9</f>
        <v>5992.0394096160026</v>
      </c>
      <c r="W139" s="8"/>
      <c r="X139" s="34" t="s">
        <v>285</v>
      </c>
      <c r="Y139" s="257">
        <v>27123</v>
      </c>
      <c r="Z139" s="257">
        <v>6.18</v>
      </c>
      <c r="AA139" s="258">
        <f>IF(Y139="NA", 0, (Y139/43560)*12/Z139)</f>
        <v>1.2090454411725373</v>
      </c>
      <c r="AB139" s="742" t="s">
        <v>296</v>
      </c>
      <c r="AC139" s="134" t="str">
        <f t="shared" si="30"/>
        <v>NA</v>
      </c>
      <c r="AD139" s="741">
        <f t="shared" si="50"/>
        <v>0</v>
      </c>
      <c r="AE139" s="134">
        <f>IF(ISNA(VLOOKUP(H139,'Efficiency Lookup'!$B$2:$C$38,2,FALSE)),0,(VLOOKUP(H139,'Efficiency Lookup'!$B$2:$C$38,2,FALSE)))</f>
        <v>0.5</v>
      </c>
      <c r="AF139" s="133">
        <f>T139*AE139</f>
        <v>7.1181271200000031</v>
      </c>
      <c r="AG139" s="135">
        <f>IF(ISNA(VLOOKUP(I139,'Efficiency Lookup'!$D$2:$E$35,2,FALSE)),0,VLOOKUP(I139,'Efficiency Lookup'!$D$2:$E$35,2,FALSE))</f>
        <v>0.75</v>
      </c>
      <c r="AH139" s="34">
        <f>T139*AG139</f>
        <v>10.677190680000004</v>
      </c>
      <c r="AI139" s="132">
        <f>IF(X139="RR",IF((0.0304*(AA139^5)-0.2619*(AA139^4)+0.9161*(AA139^3)-1.6837*(AA139^2)+1.7072*AA139-0.0091)&gt;0.85,0.85,IF((0.0304*(AA139^5)-0.2619*(AA139^4)+0.9161*(AA139^3)-1.6837*(AA139^2)+1.7072*AA139-0.0091)&lt;0,0,(0.0304*(AA139^5)-0.2619*(AA139^4)+0.9161*(AA139^3)-1.6837*(AA139^2)+1.7072*AA139-0.0091))),IF((0.0239*(AA139^5)-0.2058*(AA139^4)+0.7198*(AA139^3)-1.3229*(AA139^2)+1.3414*AA139-0.0072)&gt;0.65,0.65,IF((0.0239*(AA139^5)-0.2058*(AA139^4)+0.7198*(AA139^3)-1.3229*(AA139^2)+1.3414*AA139-0.0072)&lt;0,0,(0.0239*(AA139^5)-0.2058*(AA139^4)+0.7198*(AA139^3)-1.3229*(AA139^2)+1.3414*AA139-0.0072))))</f>
        <v>0.73175698595573879</v>
      </c>
      <c r="AJ139" s="133">
        <f>T139*AI139</f>
        <v>10.417478493962012</v>
      </c>
      <c r="AK139" s="516">
        <f t="shared" si="31"/>
        <v>10.677190680000004</v>
      </c>
      <c r="AL139" s="34">
        <f>AK139</f>
        <v>10.677190680000004</v>
      </c>
      <c r="AM139" s="313">
        <f>AL139-W138</f>
        <v>3.2548155119999995</v>
      </c>
      <c r="AN139" s="288">
        <f>AM139/AL139</f>
        <v>0.30483819288689507</v>
      </c>
      <c r="AO139" s="147">
        <f>IF(ISNA(VLOOKUP(I139,'Efficiency Lookup'!$D$2:$G$35,3,FALSE)),0,VLOOKUP(I139,'Efficiency Lookup'!$D$2:$G$35,3,FALSE))</f>
        <v>0.7</v>
      </c>
      <c r="AP139" s="34">
        <f>U139*AO139</f>
        <v>51.819965433600025</v>
      </c>
      <c r="AQ139" s="134">
        <f>IF(X139="RR",IF((0.0308*(AA139^5)-0.2562*(AA139^4)+0.8634*(AA139^3)-1.5285*(AA139^2)+1.501*AA139-0.013)&gt;0.7,0.7,IF((0.0308*(AA139^5)-0.2562*(AA139^4)+0.8634*(AA139^3)-1.5285*(AA139^2)+1.501*AA139-0.013)&lt;0,0,(0.0308*(AA139^5)-0.2562*(AA139^4)+0.8634*(AA139^3)-1.5285*(AA139^2)+1.501*AA139-0.013))),IF((0.0152*(AA139^5)-0.131*(AA139^4)+0.4581*(AA139^3)-0.8418*(AA139^2)+0.8536*AA139-0.0046)&gt;0.65,0.65,IF((0.0152*(AA139^5)-0.131*(AA139^4)+0.4581*(AA139^3)-0.8418*(AA139^2)+0.8536*AA139-0.0046)&lt;0,0,(0.0152*(AA139^5)-0.131*(AA139^4)+0.4581*(AA139^3)-0.8418*(AA139^2)+0.8536*AA139-0.0046))))</f>
        <v>0.62549463390598625</v>
      </c>
      <c r="AR139" s="133">
        <f>U139*AQ139</f>
        <v>46.30444329701502</v>
      </c>
      <c r="AS139" s="400">
        <f>IF(AK139=AF139,MAX(AP139,AR139),IF(AK139=AH139,AP139,AR139))</f>
        <v>51.819965433600025</v>
      </c>
      <c r="AT139" s="313">
        <f>AS139</f>
        <v>51.819965433600025</v>
      </c>
      <c r="AU139" s="313">
        <f>AT139*AN139</f>
        <v>15.79670461824</v>
      </c>
      <c r="AV139" s="147">
        <f>IF(ISNA(VLOOKUP(I139,'Efficiency Lookup'!$D$2:$G$35,4,FALSE)),0,VLOOKUP(I139,'Efficiency Lookup'!$D$2:$G$35,4,FALSE))</f>
        <v>0.8</v>
      </c>
      <c r="AW139" s="34">
        <f>$V139*AV139</f>
        <v>4793.6315276928026</v>
      </c>
      <c r="AX139" s="134">
        <f>IF(X139="RR",IF((0.0326*(AA139^5)-0.2806*(AA139^4)+0.9816*(AA139^3)-1.8039*(AA139^2)+1.8292*AA139-0.0098)&gt;0.85,0.85,IF((0.0326*(AA139^5)-0.2806*(AA139^4)+0.9816*(AA139^3)-1.8039*(AA139^2)+1.8292*AA139-0.0098)&lt;0,0,(0.0326*(AA139^5)-0.2806*(AA139^4)+0.9816*(AA139^3)-1.8039*(AA139^2)+1.8292*AA139-0.0098))),IF((0.0304*(AA139^5)-0.2619*(AA139^4)+0.9161*(AA139^3)-1.6837*(AA139^2)+1.7072*AA139-0.0091)&gt;0.8,0.8,IF((0.0304*(AA139^5)-0.2619*(AA139^4)+0.9161*(AA139^3)-1.6837*(AA139^2)+1.7072*AA139-0.0091)&lt;0,0,(0.0304*(AA139^5)-0.2619*(AA139^4)+0.9161*(AA139^3)-1.6837*(AA139^2)+1.7072*AA139-0.0091))))</f>
        <v>0.78434109758914627</v>
      </c>
      <c r="AY139" s="137">
        <f>$V139*AX139</f>
        <v>4699.8027673356355</v>
      </c>
      <c r="AZ139" s="400">
        <f>IF(AS139=AP139,AW139,AY139)</f>
        <v>4793.6315276928026</v>
      </c>
      <c r="BA139" s="313">
        <f>AZ139</f>
        <v>4793.6315276928026</v>
      </c>
      <c r="BB139" s="401">
        <f>BA139*AN139</f>
        <v>1461.2819722675201</v>
      </c>
      <c r="BC139" s="318">
        <f>AM139</f>
        <v>3.2548155119999995</v>
      </c>
      <c r="BD139" s="318">
        <f>AU139</f>
        <v>15.79670461824</v>
      </c>
      <c r="BE139" s="332">
        <f>BB139</f>
        <v>1461.2819722675201</v>
      </c>
      <c r="BF139" s="14"/>
    </row>
    <row r="140" spans="1:59" s="268" customFormat="1" ht="18.600000000000001" customHeight="1" x14ac:dyDescent="0.25">
      <c r="A140" s="269"/>
      <c r="B140" s="281"/>
      <c r="C140" s="281"/>
      <c r="D140" s="281"/>
      <c r="E140" s="262"/>
      <c r="F140" s="262"/>
      <c r="G140" s="262"/>
      <c r="H140" s="263"/>
      <c r="I140" s="263"/>
      <c r="J140" s="262"/>
      <c r="K140" s="271"/>
      <c r="L140" s="271"/>
      <c r="M140" s="271"/>
      <c r="N140" s="271"/>
      <c r="O140" s="273"/>
      <c r="P140" s="273"/>
      <c r="Q140" s="264"/>
      <c r="R140" s="264"/>
      <c r="S140" s="264"/>
      <c r="T140" s="264"/>
      <c r="U140" s="264"/>
      <c r="V140" s="264"/>
      <c r="W140" s="264"/>
      <c r="X140" s="266"/>
      <c r="Y140" s="265"/>
      <c r="Z140" s="265"/>
      <c r="AA140" s="321"/>
      <c r="AB140" s="747" t="s">
        <v>297</v>
      </c>
      <c r="AC140" s="322" t="str">
        <f t="shared" si="30"/>
        <v/>
      </c>
      <c r="AD140" s="754" t="str">
        <f t="shared" si="50"/>
        <v/>
      </c>
      <c r="AE140" s="322"/>
      <c r="AF140" s="274"/>
      <c r="AG140" s="322"/>
      <c r="AH140" s="274"/>
      <c r="AI140" s="320"/>
      <c r="AJ140" s="274"/>
      <c r="AK140" s="325" t="str">
        <f t="shared" si="31"/>
        <v/>
      </c>
      <c r="AL140" s="410"/>
      <c r="AO140" s="333"/>
      <c r="AP140" s="274"/>
      <c r="AQ140" s="322"/>
      <c r="AR140" s="274"/>
      <c r="AS140" s="587"/>
      <c r="AT140" s="410"/>
      <c r="AU140" s="406"/>
      <c r="AV140" s="333"/>
      <c r="AW140" s="274"/>
      <c r="AX140" s="322"/>
      <c r="AY140" s="275"/>
      <c r="AZ140" s="280"/>
      <c r="BA140" s="264"/>
      <c r="BB140" s="411"/>
      <c r="BE140" s="331"/>
      <c r="BF140" s="277"/>
    </row>
    <row r="141" spans="1:59" ht="18.600000000000001" customHeight="1" x14ac:dyDescent="0.25">
      <c r="A141" s="11" t="s">
        <v>431</v>
      </c>
      <c r="B141" s="11"/>
      <c r="C141" s="11"/>
      <c r="D141" s="1111" t="s">
        <v>271</v>
      </c>
      <c r="E141" s="1116"/>
      <c r="F141" s="1019"/>
      <c r="G141" s="1019"/>
      <c r="H141" s="1021"/>
      <c r="I141" s="1021"/>
      <c r="J141" s="1048"/>
      <c r="K141" s="11">
        <v>0.39</v>
      </c>
      <c r="L141" s="11"/>
      <c r="M141" s="11">
        <v>0</v>
      </c>
      <c r="N141" s="9">
        <v>7.0000000000000007E-2</v>
      </c>
      <c r="O141" s="7">
        <f>+M141/K141</f>
        <v>0</v>
      </c>
      <c r="P141" s="7">
        <f>+N141/K141</f>
        <v>0.17948717948717949</v>
      </c>
      <c r="Q141" s="8">
        <f>43*0.9*(0.05+0.9*0.16)*0.26*$K141*2.72/12</f>
        <v>0.17255927520000003</v>
      </c>
      <c r="R141" s="39">
        <f>43*0.9*(0.05+0.9*O141)*0.26*$K141*2.72/12</f>
        <v>4.4474040000000013E-2</v>
      </c>
      <c r="S141" s="8">
        <f>IF(J141="R",R141,Q141)</f>
        <v>0.17255927520000003</v>
      </c>
      <c r="T141" s="8">
        <f>43*0.9*(0.05+0.9*P141)*0.26*$K141*2.72/12</f>
        <v>0.18815940000000006</v>
      </c>
      <c r="U141" s="8">
        <f>T141*5.2</f>
        <v>0.97842888000000039</v>
      </c>
      <c r="V141" s="8">
        <f>T141*420.9</f>
        <v>79.196291460000026</v>
      </c>
      <c r="W141" s="8">
        <f>IF(P141 &lt; 16%, 0, IF(K141 &lt; 1, 0, T141-S141))</f>
        <v>0</v>
      </c>
      <c r="X141" s="34"/>
      <c r="Y141" s="257"/>
      <c r="Z141" s="257"/>
      <c r="AA141" s="258"/>
      <c r="AB141" s="742" t="s">
        <v>297</v>
      </c>
      <c r="AC141" s="134" t="str">
        <f t="shared" si="30"/>
        <v/>
      </c>
      <c r="AD141" s="741" t="str">
        <f t="shared" si="50"/>
        <v/>
      </c>
      <c r="AE141" s="134"/>
      <c r="AF141" s="133"/>
      <c r="AG141" s="134"/>
      <c r="AH141" s="133"/>
      <c r="AI141" s="132"/>
      <c r="AJ141" s="133"/>
      <c r="AK141" s="324" t="str">
        <f t="shared" si="31"/>
        <v/>
      </c>
      <c r="AL141" s="17"/>
      <c r="AO141" s="138"/>
      <c r="AP141" s="133"/>
      <c r="AQ141" s="134"/>
      <c r="AR141" s="133"/>
      <c r="AS141" s="400"/>
      <c r="AT141" s="17"/>
      <c r="AU141" s="407"/>
      <c r="AV141" s="138"/>
      <c r="AW141" s="133"/>
      <c r="AX141" s="134"/>
      <c r="AY141" s="137"/>
      <c r="AZ141" s="146"/>
      <c r="BA141" s="8"/>
      <c r="BB141" s="412"/>
      <c r="BE141" s="143"/>
      <c r="BF141" s="14"/>
    </row>
    <row r="142" spans="1:59" ht="18.600000000000001" customHeight="1" x14ac:dyDescent="0.25">
      <c r="A142" s="5"/>
      <c r="B142" s="11">
        <v>-78.498006000000004</v>
      </c>
      <c r="C142" s="11">
        <v>38.002988000000002</v>
      </c>
      <c r="D142" s="26">
        <v>358.01</v>
      </c>
      <c r="E142" s="1048" t="s">
        <v>281</v>
      </c>
      <c r="F142" s="1048" t="s">
        <v>342</v>
      </c>
      <c r="G142" s="1048"/>
      <c r="H142" s="1021" t="s">
        <v>343</v>
      </c>
      <c r="I142" s="1021" t="s">
        <v>315</v>
      </c>
      <c r="J142" s="1048"/>
      <c r="K142" s="11">
        <v>0.15</v>
      </c>
      <c r="L142" s="11"/>
      <c r="M142" s="11">
        <v>0</v>
      </c>
      <c r="N142" s="11">
        <v>0.1</v>
      </c>
      <c r="O142" s="7">
        <f>+M142/K142</f>
        <v>0</v>
      </c>
      <c r="P142" s="7">
        <f>+N142/K142</f>
        <v>0.66666666666666674</v>
      </c>
      <c r="Q142" s="8"/>
      <c r="R142" s="8"/>
      <c r="S142" s="8"/>
      <c r="T142" s="8">
        <f>IF(J141="TT",IF(F141="u/g detention",(43*0.9*(0.05+0.9*P142)*0.26*$K142*2.72/12)-AK140,(43*0.9*(0.05+0.9*P142)*0.26*$K142*2.72/12)-AK141),43*0.9*(0.05+0.9*P142)*0.26*$K142*2.72/12)</f>
        <v>0.22237020000000007</v>
      </c>
      <c r="U142" s="8">
        <f>T142*5.2</f>
        <v>1.1563250400000005</v>
      </c>
      <c r="V142" s="8">
        <f>T142*420.9</f>
        <v>93.595617180000019</v>
      </c>
      <c r="W142" s="8"/>
      <c r="X142" s="34" t="s">
        <v>285</v>
      </c>
      <c r="Y142" s="257" t="s">
        <v>295</v>
      </c>
      <c r="Z142" s="257">
        <v>0.1</v>
      </c>
      <c r="AA142" s="258">
        <f>IF(Y142="NA", 0, (Y142/43560)*12/Z142)</f>
        <v>0</v>
      </c>
      <c r="AB142" s="742" t="s">
        <v>296</v>
      </c>
      <c r="AC142" s="134" t="str">
        <f t="shared" si="30"/>
        <v>NA</v>
      </c>
      <c r="AD142" s="741">
        <f t="shared" si="50"/>
        <v>0</v>
      </c>
      <c r="AE142" s="134">
        <f>IF(ISNA(VLOOKUP(H142,'Efficiency Lookup'!$B$2:$C$38,2,FALSE)),0,(VLOOKUP(H142,'Efficiency Lookup'!$B$2:$C$38,2,FALSE)))</f>
        <v>0.5</v>
      </c>
      <c r="AF142" s="133">
        <f>T142*AE142</f>
        <v>0.11118510000000004</v>
      </c>
      <c r="AG142" s="135">
        <f>IF(ISNA(VLOOKUP(I142,'Efficiency Lookup'!$D$2:$E$35,2,FALSE)),0,VLOOKUP(I142,'Efficiency Lookup'!$D$2:$E$35,2,FALSE))</f>
        <v>0.75</v>
      </c>
      <c r="AH142" s="34">
        <f>T142*AG142</f>
        <v>0.16677765000000006</v>
      </c>
      <c r="AI142" s="132">
        <f>IF(X142="RR",IF((0.0304*(AA142^5)-0.2619*(AA142^4)+0.9161*(AA142^3)-1.6837*(AA142^2)+1.7072*AA142-0.0091)&gt;0.85,0.85,IF((0.0304*(AA142^5)-0.2619*(AA142^4)+0.9161*(AA142^3)-1.6837*(AA142^2)+1.7072*AA142-0.0091)&lt;0,0,(0.0304*(AA142^5)-0.2619*(AA142^4)+0.9161*(AA142^3)-1.6837*(AA142^2)+1.7072*AA142-0.0091))),IF((0.0239*(AA142^5)-0.2058*(AA142^4)+0.7198*(AA142^3)-1.3229*(AA142^2)+1.3414*AA142-0.0072)&gt;0.65,0.65,IF((0.0239*(AA142^5)-0.2058*(AA142^4)+0.7198*(AA142^3)-1.3229*(AA142^2)+1.3414*AA142-0.0072)&lt;0,0,(0.0239*(AA142^5)-0.2058*(AA142^4)+0.7198*(AA142^3)-1.3229*(AA142^2)+1.3414*AA142-0.0072))))</f>
        <v>0</v>
      </c>
      <c r="AJ142" s="133">
        <f>T142*AI142</f>
        <v>0</v>
      </c>
      <c r="AK142" s="516">
        <f t="shared" si="31"/>
        <v>0.16677765000000006</v>
      </c>
      <c r="AL142" s="34">
        <f>AK142</f>
        <v>0.16677765000000006</v>
      </c>
      <c r="AM142" s="313">
        <f>AL142-W141</f>
        <v>0.16677765000000006</v>
      </c>
      <c r="AN142" s="288">
        <f>AM142/AL142</f>
        <v>1</v>
      </c>
      <c r="AO142" s="147">
        <f>IF(ISNA(VLOOKUP(I142,'Efficiency Lookup'!$D$2:$G$35,3,FALSE)),0,VLOOKUP(I142,'Efficiency Lookup'!$D$2:$G$35,3,FALSE))</f>
        <v>0.7</v>
      </c>
      <c r="AP142" s="34">
        <f>U142*AO142</f>
        <v>0.80942752800000028</v>
      </c>
      <c r="AQ142" s="134">
        <f>IF(X142="RR",IF((0.0308*(AA142^5)-0.2562*(AA142^4)+0.8634*(AA142^3)-1.5285*(AA142^2)+1.501*AA142-0.013)&gt;0.7,0.7,IF((0.0308*(AA142^5)-0.2562*(AA142^4)+0.8634*(AA142^3)-1.5285*(AA142^2)+1.501*AA142-0.013)&lt;0,0,(0.0308*(AA142^5)-0.2562*(AA142^4)+0.8634*(AA142^3)-1.5285*(AA142^2)+1.501*AA142-0.013))),IF((0.0152*(AA142^5)-0.131*(AA142^4)+0.4581*(AA142^3)-0.8418*(AA142^2)+0.8536*AA142-0.0046)&gt;0.65,0.65,IF((0.0152*(AA142^5)-0.131*(AA142^4)+0.4581*(AA142^3)-0.8418*(AA142^2)+0.8536*AA142-0.0046)&lt;0,0,(0.0152*(AA142^5)-0.131*(AA142^4)+0.4581*(AA142^3)-0.8418*(AA142^2)+0.8536*AA142-0.0046))))</f>
        <v>0</v>
      </c>
      <c r="AR142" s="133">
        <f>U142*AQ142</f>
        <v>0</v>
      </c>
      <c r="AS142" s="400">
        <f>IF(AK142=AF142,MAX(AP142,AR142),IF(AK142=AH142,AP142,AR142))</f>
        <v>0.80942752800000028</v>
      </c>
      <c r="AT142" s="313">
        <f>AS142</f>
        <v>0.80942752800000028</v>
      </c>
      <c r="AU142" s="313">
        <f>AT142*AN142</f>
        <v>0.80942752800000028</v>
      </c>
      <c r="AV142" s="147">
        <f>IF(ISNA(VLOOKUP(I142,'Efficiency Lookup'!$D$2:$G$35,4,FALSE)),0,VLOOKUP(I142,'Efficiency Lookup'!$D$2:$G$35,4,FALSE))</f>
        <v>0.8</v>
      </c>
      <c r="AW142" s="34">
        <f>$V142*AV142</f>
        <v>74.876493744000015</v>
      </c>
      <c r="AX142" s="134">
        <f>IF(X142="RR",IF((0.0326*(AA142^5)-0.2806*(AA142^4)+0.9816*(AA142^3)-1.8039*(AA142^2)+1.8292*AA142-0.0098)&gt;0.85,0.85,IF((0.0326*(AA142^5)-0.2806*(AA142^4)+0.9816*(AA142^3)-1.8039*(AA142^2)+1.8292*AA142-0.0098)&lt;0,0,(0.0326*(AA142^5)-0.2806*(AA142^4)+0.9816*(AA142^3)-1.8039*(AA142^2)+1.8292*AA142-0.0098))),IF((0.0304*(AA142^5)-0.2619*(AA142^4)+0.9161*(AA142^3)-1.6837*(AA142^2)+1.7072*AA142-0.0091)&gt;0.8,0.8,IF((0.0304*(AA142^5)-0.2619*(AA142^4)+0.9161*(AA142^3)-1.6837*(AA142^2)+1.7072*AA142-0.0091)&lt;0,0,(0.0304*(AA142^5)-0.2619*(AA142^4)+0.9161*(AA142^3)-1.6837*(AA142^2)+1.7072*AA142-0.0091))))</f>
        <v>0</v>
      </c>
      <c r="AY142" s="137">
        <f>$V142*AX142</f>
        <v>0</v>
      </c>
      <c r="AZ142" s="400">
        <f>IF(AS142=AP142,AW142,AY142)</f>
        <v>74.876493744000015</v>
      </c>
      <c r="BA142" s="313">
        <f>AZ142</f>
        <v>74.876493744000015</v>
      </c>
      <c r="BB142" s="401">
        <f>BA142*AN142</f>
        <v>74.876493744000015</v>
      </c>
      <c r="BC142" s="318">
        <f>AM142</f>
        <v>0.16677765000000006</v>
      </c>
      <c r="BD142" s="318">
        <f>AU142</f>
        <v>0.80942752800000028</v>
      </c>
      <c r="BE142" s="332">
        <f>BB142</f>
        <v>74.876493744000015</v>
      </c>
      <c r="BF142" s="14"/>
    </row>
    <row r="143" spans="1:59" s="268" customFormat="1" ht="18.600000000000001" customHeight="1" x14ac:dyDescent="0.25">
      <c r="B143" s="271"/>
      <c r="C143" s="271"/>
      <c r="G143" s="277"/>
      <c r="H143" s="263"/>
      <c r="I143" s="263"/>
      <c r="Q143" s="264"/>
      <c r="S143" s="264"/>
      <c r="T143" s="264"/>
      <c r="U143" s="264"/>
      <c r="V143" s="264"/>
      <c r="W143" s="264"/>
      <c r="X143" s="264"/>
      <c r="Y143" s="265"/>
      <c r="Z143" s="265"/>
      <c r="AA143" s="264"/>
      <c r="AB143" s="743" t="s">
        <v>297</v>
      </c>
      <c r="AC143" s="751" t="str">
        <f t="shared" si="30"/>
        <v/>
      </c>
      <c r="AD143" s="303" t="str">
        <f t="shared" si="50"/>
        <v/>
      </c>
      <c r="AE143" s="274"/>
      <c r="AF143" s="266"/>
      <c r="AG143" s="303"/>
      <c r="AH143" s="274"/>
      <c r="AI143" s="303"/>
      <c r="AJ143" s="274"/>
      <c r="AK143" s="328" t="str">
        <f t="shared" si="31"/>
        <v/>
      </c>
      <c r="AL143" s="410"/>
      <c r="AO143" s="329"/>
      <c r="AP143" s="303"/>
      <c r="AQ143" s="303"/>
      <c r="AR143" s="303"/>
      <c r="AS143" s="587"/>
      <c r="AT143" s="410"/>
      <c r="AU143" s="410"/>
      <c r="AV143" s="329"/>
      <c r="AW143" s="303"/>
      <c r="AX143" s="303"/>
      <c r="AY143" s="285"/>
      <c r="AZ143" s="587"/>
      <c r="BA143" s="410"/>
      <c r="BB143" s="411"/>
      <c r="BE143" s="331"/>
    </row>
    <row r="144" spans="1:59" ht="18.600000000000001" customHeight="1" x14ac:dyDescent="0.25">
      <c r="A144" s="11" t="s">
        <v>432</v>
      </c>
      <c r="B144" s="11"/>
      <c r="C144" s="11"/>
      <c r="D144" s="1111" t="s">
        <v>271</v>
      </c>
      <c r="E144" s="1116"/>
      <c r="F144" s="1019"/>
      <c r="G144" s="1019"/>
      <c r="H144" s="1021"/>
      <c r="I144" s="1021"/>
      <c r="J144" s="1019"/>
      <c r="K144" s="11">
        <v>0.97</v>
      </c>
      <c r="L144" s="11"/>
      <c r="M144" s="11">
        <v>0</v>
      </c>
      <c r="N144" s="9">
        <v>0.54</v>
      </c>
      <c r="O144" s="7">
        <f>+M144/K144</f>
        <v>0</v>
      </c>
      <c r="P144" s="7">
        <f>+N144/K144</f>
        <v>0.55670103092783507</v>
      </c>
      <c r="Q144" s="8">
        <f>43*0.9*(0.05+0.9*0.16)*0.26*$K144*2.72/12</f>
        <v>0.42918588960000004</v>
      </c>
      <c r="R144" s="39">
        <f>43*0.9*(0.05+0.9*O144)*0.26*$K144*2.72/12</f>
        <v>0.11061492000000002</v>
      </c>
      <c r="S144" s="8">
        <f>IF(J144="R",R144,Q144)</f>
        <v>0.42918588960000004</v>
      </c>
      <c r="T144" s="8">
        <f>43*0.9*(0.05+0.9*P144)*0.26*$K144*2.72/12</f>
        <v>1.2190448400000002</v>
      </c>
      <c r="U144" s="8">
        <f>T144*5.2</f>
        <v>6.3390331680000012</v>
      </c>
      <c r="V144" s="8">
        <f>T144*420.9</f>
        <v>513.09597315600013</v>
      </c>
      <c r="W144" s="8">
        <f>IF(P144 &lt; 16%, 0, IF(K144 &lt; 1, 0, T144-S144))</f>
        <v>0</v>
      </c>
      <c r="X144" s="8"/>
      <c r="Y144" s="257"/>
      <c r="Z144" s="257"/>
      <c r="AA144" s="8"/>
      <c r="AB144" s="744" t="s">
        <v>297</v>
      </c>
      <c r="AC144" s="134" t="str">
        <f t="shared" si="30"/>
        <v/>
      </c>
      <c r="AD144" s="133" t="str">
        <f t="shared" si="50"/>
        <v/>
      </c>
      <c r="AE144" s="133"/>
      <c r="AF144" s="34"/>
      <c r="AG144" s="39"/>
      <c r="AH144" s="133"/>
      <c r="AI144" s="39"/>
      <c r="AJ144" s="133"/>
      <c r="AK144" s="327" t="str">
        <f t="shared" si="31"/>
        <v/>
      </c>
      <c r="AL144" s="17"/>
      <c r="AO144" s="589"/>
      <c r="AP144" s="39"/>
      <c r="AQ144" s="39"/>
      <c r="AR144" s="39"/>
      <c r="AS144" s="400"/>
      <c r="AT144" s="17"/>
      <c r="AU144" s="409"/>
      <c r="AV144" s="589"/>
      <c r="AW144" s="39"/>
      <c r="AX144" s="39"/>
      <c r="AY144" s="136"/>
      <c r="AZ144" s="146"/>
      <c r="BA144" s="8"/>
      <c r="BB144" s="412"/>
      <c r="BE144" s="143"/>
      <c r="BF144" s="14" t="s">
        <v>421</v>
      </c>
      <c r="BG144" t="s">
        <v>433</v>
      </c>
    </row>
    <row r="145" spans="1:59" ht="18.600000000000001" customHeight="1" x14ac:dyDescent="0.25">
      <c r="A145" s="5"/>
      <c r="B145" s="11">
        <v>-78.501776000000007</v>
      </c>
      <c r="C145" s="11">
        <v>38.002840999999997</v>
      </c>
      <c r="D145" s="26">
        <v>235.02</v>
      </c>
      <c r="E145" s="1048" t="s">
        <v>281</v>
      </c>
      <c r="F145" s="1048" t="s">
        <v>282</v>
      </c>
      <c r="G145" s="1048"/>
      <c r="H145" s="1021" t="s">
        <v>283</v>
      </c>
      <c r="I145" s="1021" t="s">
        <v>315</v>
      </c>
      <c r="J145" s="1048"/>
      <c r="K145" s="11">
        <v>2.5099999999999998</v>
      </c>
      <c r="L145" s="11"/>
      <c r="M145" s="11">
        <v>0.65</v>
      </c>
      <c r="N145" s="11">
        <v>1.1599999999999999</v>
      </c>
      <c r="O145" s="7">
        <f>+M145/K145</f>
        <v>0.25896414342629487</v>
      </c>
      <c r="P145" s="7">
        <f>+N145/K145</f>
        <v>0.46215139442231079</v>
      </c>
      <c r="Q145" s="8"/>
      <c r="R145" s="8"/>
      <c r="S145" s="8"/>
      <c r="T145" s="8">
        <f>IF(J144="TT",IF(F144="u/g detention",(43*0.9*(0.05+0.9*P145)*0.26*$K145*2.72/12)-AK143,(43*0.9*(0.05+0.9*P145)*0.26*$K145*2.72/12)-AK144),43*0.9*(0.05+0.9*P145)*0.26*$K145*2.72/12)</f>
        <v>2.6673020400000009</v>
      </c>
      <c r="U145" s="8">
        <f>T145*5.2</f>
        <v>13.869970608000004</v>
      </c>
      <c r="V145" s="8">
        <f>T145*420.9</f>
        <v>1122.6674286360003</v>
      </c>
      <c r="W145" s="8"/>
      <c r="X145" s="34" t="s">
        <v>285</v>
      </c>
      <c r="Y145" s="257">
        <v>1133.9000000000001</v>
      </c>
      <c r="Z145" s="257">
        <v>1.1599999999999999</v>
      </c>
      <c r="AA145" s="258">
        <f>IF(Y145="NA", 0, (Y145/43560)*12/Z145)</f>
        <v>0.26928374655647391</v>
      </c>
      <c r="AB145" s="742" t="s">
        <v>296</v>
      </c>
      <c r="AC145" s="134" t="str">
        <f>IF(G145="filterra",0.5, IF(G145="stormfilter",0.45,IF(B145=0,"","NA")))</f>
        <v>NA</v>
      </c>
      <c r="AD145" s="741">
        <f t="shared" si="50"/>
        <v>0</v>
      </c>
      <c r="AE145" s="134">
        <f>IF(ISNA(VLOOKUP(H145,'Efficiency Lookup'!$B$2:$C$38,2,FALSE)),0,(VLOOKUP(H145,'Efficiency Lookup'!$B$2:$C$38,2,FALSE)))</f>
        <v>0.65</v>
      </c>
      <c r="AF145" s="133">
        <f>T145*AE145</f>
        <v>1.7337463260000006</v>
      </c>
      <c r="AG145" s="288">
        <f>IF(ISNA(VLOOKUP(I145,'Efficiency Lookup'!$D$2:$E$35,2,FALSE)),0,VLOOKUP(I145,'Efficiency Lookup'!$D$2:$E$35,2,FALSE))</f>
        <v>0.75</v>
      </c>
      <c r="AH145" s="313">
        <f>T145*AG145</f>
        <v>2.0004765300000007</v>
      </c>
      <c r="AI145" s="132">
        <f>IF(X145="RR",IF((0.0304*(AA145^5)-0.2619*(AA145^4)+0.9161*(AA145^3)-1.6837*(AA145^2)+1.7072*AA145-0.0091)&gt;0.85,0.85,IF((0.0304*(AA145^5)-0.2619*(AA145^4)+0.9161*(AA145^3)-1.6837*(AA145^2)+1.7072*AA145-0.0091)&lt;0,0,(0.0304*(AA145^5)-0.2619*(AA145^4)+0.9161*(AA145^3)-1.6837*(AA145^2)+1.7072*AA145-0.0091))),IF((0.0239*(AA145^5)-0.2058*(AA145^4)+0.7198*(AA145^3)-1.3229*(AA145^2)+1.3414*AA145-0.0072)&gt;0.65,0.65,IF((0.0239*(AA145^5)-0.2058*(AA145^4)+0.7198*(AA145^3)-1.3229*(AA145^2)+1.3414*AA145-0.0072)&lt;0,0,(0.0239*(AA145^5)-0.2058*(AA145^4)+0.7198*(AA145^3)-1.3229*(AA145^2)+1.3414*AA145-0.0072))))</f>
        <v>0.3450842206445065</v>
      </c>
      <c r="AJ145" s="133">
        <f>T145*AI145</f>
        <v>0.92044384569690263</v>
      </c>
      <c r="AK145" s="516">
        <f t="shared" si="31"/>
        <v>2.0004765300000007</v>
      </c>
      <c r="AL145" s="34">
        <f>AK145</f>
        <v>2.0004765300000007</v>
      </c>
      <c r="AM145" s="313">
        <f>AL145-W144</f>
        <v>2.0004765300000007</v>
      </c>
      <c r="AN145" s="288">
        <f>AM145/AL145</f>
        <v>1</v>
      </c>
      <c r="AO145" s="496">
        <f>IF(ISNA(VLOOKUP(I145,'Efficiency Lookup'!$D$2:$G$35,3,FALSE)),0,VLOOKUP(I145,'Efficiency Lookup'!$D$2:$G$35,3,FALSE))</f>
        <v>0.7</v>
      </c>
      <c r="AP145" s="313">
        <f>U145*AO145</f>
        <v>9.7089794256000026</v>
      </c>
      <c r="AQ145" s="134">
        <f>IF(X145="RR",IF((0.0308*(AA145^5)-0.2562*(AA145^4)+0.8634*(AA145^3)-1.5285*(AA145^2)+1.501*AA145-0.013)&gt;0.7,0.7,IF((0.0308*(AA145^5)-0.2562*(AA145^4)+0.8634*(AA145^3)-1.5285*(AA145^2)+1.501*AA145-0.013)&lt;0,0,(0.0308*(AA145^5)-0.2562*(AA145^4)+0.8634*(AA145^3)-1.5285*(AA145^2)+1.501*AA145-0.013))),IF((0.0152*(AA145^5)-0.131*(AA145^4)+0.4581*(AA145^3)-0.8418*(AA145^2)+0.8536*AA145-0.0046)&gt;0.65,0.65,IF((0.0152*(AA145^5)-0.131*(AA145^4)+0.4581*(AA145^3)-0.8418*(AA145^2)+0.8536*AA145-0.0046)&lt;0,0,(0.0152*(AA145^5)-0.131*(AA145^4)+0.4581*(AA145^3)-0.8418*(AA145^2)+0.8536*AA145-0.0046))))</f>
        <v>0.29591352151118461</v>
      </c>
      <c r="AR145" s="133">
        <f>U145*AQ145</f>
        <v>4.1043118458699075</v>
      </c>
      <c r="AS145" s="400">
        <f>IF(AK145=AF145,MAX(AP145,AR145),IF(AK145=AH145,AP145,AR145))</f>
        <v>9.7089794256000026</v>
      </c>
      <c r="AT145" s="313">
        <f>AS145</f>
        <v>9.7089794256000026</v>
      </c>
      <c r="AU145" s="313">
        <f>AT145*AN145</f>
        <v>9.7089794256000026</v>
      </c>
      <c r="AV145" s="496">
        <f>IF(ISNA(VLOOKUP(I145,'Efficiency Lookup'!$D$2:$G$35,4,FALSE)),0,VLOOKUP(I145,'Efficiency Lookup'!$D$2:$G$35,4,FALSE))</f>
        <v>0.8</v>
      </c>
      <c r="AW145" s="313">
        <f>$V145*AV145</f>
        <v>898.13394290880024</v>
      </c>
      <c r="AX145" s="134">
        <f>IF(X145="RR",IF((0.0326*(AA145^5)-0.2806*(AA145^4)+0.9816*(AA145^3)-1.8039*(AA145^2)+1.8292*AA145-0.0098)&gt;0.85,0.85,IF((0.0326*(AA145^5)-0.2806*(AA145^4)+0.9816*(AA145^3)-1.8039*(AA145^2)+1.8292*AA145-0.0098)&lt;0,0,(0.0326*(AA145^5)-0.2806*(AA145^4)+0.9816*(AA145^3)-1.8039*(AA145^2)+1.8292*AA145-0.0098))),IF((0.0304*(AA145^5)-0.2619*(AA145^4)+0.9161*(AA145^3)-1.6837*(AA145^2)+1.7072*AA145-0.0091)&gt;0.8,0.8,IF((0.0304*(AA145^5)-0.2619*(AA145^4)+0.9161*(AA145^3)-1.6837*(AA145^2)+1.7072*AA145-0.0091)&lt;0,0,(0.0304*(AA145^5)-0.2619*(AA145^4)+0.9161*(AA145^3)-1.6837*(AA145^2)+1.7072*AA145-0.0091))))</f>
        <v>0.36970447609490775</v>
      </c>
      <c r="AY145" s="137">
        <f>$V145*AX145</f>
        <v>415.05517353268971</v>
      </c>
      <c r="AZ145" s="400">
        <f>IF(AS145=AP145,AW145,AY145)</f>
        <v>898.13394290880024</v>
      </c>
      <c r="BA145" s="313">
        <f>AZ145</f>
        <v>898.13394290880024</v>
      </c>
      <c r="BB145" s="401">
        <f>BA145*AN145</f>
        <v>898.13394290880024</v>
      </c>
      <c r="BC145" s="318">
        <f>AM145</f>
        <v>2.0004765300000007</v>
      </c>
      <c r="BD145" s="318">
        <f>AU145</f>
        <v>9.7089794256000026</v>
      </c>
      <c r="BE145" s="332">
        <f>BB145</f>
        <v>898.13394290880024</v>
      </c>
      <c r="BG145" t="s">
        <v>287</v>
      </c>
    </row>
    <row r="146" spans="1:59" s="268" customFormat="1" ht="18.600000000000001" customHeight="1" x14ac:dyDescent="0.25">
      <c r="A146" s="269"/>
      <c r="B146" s="281"/>
      <c r="C146" s="281"/>
      <c r="D146" s="281"/>
      <c r="E146" s="262"/>
      <c r="F146" s="262"/>
      <c r="G146" s="262"/>
      <c r="H146" s="263"/>
      <c r="I146" s="263"/>
      <c r="J146" s="262"/>
      <c r="K146" s="271"/>
      <c r="L146" s="271"/>
      <c r="M146" s="271"/>
      <c r="N146" s="271"/>
      <c r="O146" s="273"/>
      <c r="P146" s="273"/>
      <c r="Q146" s="264"/>
      <c r="R146" s="264"/>
      <c r="S146" s="264"/>
      <c r="T146" s="264"/>
      <c r="U146" s="264"/>
      <c r="V146" s="264"/>
      <c r="W146" s="264"/>
      <c r="X146" s="264"/>
      <c r="Y146" s="265"/>
      <c r="Z146" s="265"/>
      <c r="AA146" s="264"/>
      <c r="AB146" s="743" t="s">
        <v>297</v>
      </c>
      <c r="AC146" s="322" t="str">
        <f t="shared" si="30"/>
        <v/>
      </c>
      <c r="AD146" s="274" t="str">
        <f t="shared" si="50"/>
        <v/>
      </c>
      <c r="AE146" s="274"/>
      <c r="AF146" s="266"/>
      <c r="AG146" s="303"/>
      <c r="AH146" s="274"/>
      <c r="AI146" s="303"/>
      <c r="AJ146" s="274"/>
      <c r="AK146" s="328" t="str">
        <f t="shared" si="31"/>
        <v/>
      </c>
      <c r="AL146" s="410"/>
      <c r="AO146" s="329"/>
      <c r="AP146" s="303"/>
      <c r="AQ146" s="303"/>
      <c r="AR146" s="303"/>
      <c r="AS146" s="587"/>
      <c r="AT146" s="410"/>
      <c r="AU146" s="408"/>
      <c r="AV146" s="329"/>
      <c r="AW146" s="303"/>
      <c r="AX146" s="303"/>
      <c r="AY146" s="285"/>
      <c r="AZ146" s="280"/>
      <c r="BA146" s="264"/>
      <c r="BB146" s="411"/>
      <c r="BE146" s="331"/>
      <c r="BF146" s="277"/>
    </row>
    <row r="147" spans="1:59" ht="18.600000000000001" customHeight="1" x14ac:dyDescent="0.25">
      <c r="A147" s="11" t="s">
        <v>434</v>
      </c>
      <c r="B147" s="11"/>
      <c r="C147" s="11"/>
      <c r="D147" s="1111" t="s">
        <v>271</v>
      </c>
      <c r="E147" s="1116"/>
      <c r="F147" s="1019"/>
      <c r="G147" s="1019"/>
      <c r="H147" s="1021"/>
      <c r="I147" s="1021"/>
      <c r="J147" s="1019"/>
      <c r="K147" s="11">
        <v>2.8</v>
      </c>
      <c r="L147" s="11"/>
      <c r="M147" s="11">
        <v>0</v>
      </c>
      <c r="N147" s="9">
        <v>1.17</v>
      </c>
      <c r="O147" s="7">
        <f>+M147/K147</f>
        <v>0</v>
      </c>
      <c r="P147" s="7">
        <f>+N147/K147</f>
        <v>0.41785714285714287</v>
      </c>
      <c r="Q147" s="8">
        <f>43*0.9*(0.05+0.9*0.16)*0.26*$K147*2.72/12</f>
        <v>1.238887104</v>
      </c>
      <c r="R147" s="39">
        <f>43*0.9*(0.05+0.9*O147)*0.26*$K147*2.72/12</f>
        <v>0.31930080000000005</v>
      </c>
      <c r="S147" s="8">
        <f>IF(J147="R",R147,Q147)</f>
        <v>1.238887104</v>
      </c>
      <c r="T147" s="8">
        <f>43*0.9*(0.05+0.9*P147)*0.26*$K147*2.72/12</f>
        <v>2.7208989600000009</v>
      </c>
      <c r="U147" s="8">
        <f>T147*5.2</f>
        <v>14.148674592000004</v>
      </c>
      <c r="V147" s="8">
        <f>T147*420.9</f>
        <v>1145.2263722640002</v>
      </c>
      <c r="W147" s="8">
        <f>IF(P147 &lt; 16%, 0, IF(K147 &lt; 1, 0, T147-S147))</f>
        <v>1.4820118560000008</v>
      </c>
      <c r="AB147" s="744" t="s">
        <v>297</v>
      </c>
      <c r="AC147" s="134" t="str">
        <f t="shared" si="30"/>
        <v/>
      </c>
      <c r="AD147" s="133" t="str">
        <f t="shared" si="50"/>
        <v/>
      </c>
      <c r="AE147" s="133"/>
      <c r="AF147" s="34"/>
      <c r="AG147" s="133"/>
      <c r="AH147" s="133"/>
      <c r="AI147" s="39"/>
      <c r="AJ147" s="133"/>
      <c r="AK147" s="327" t="str">
        <f t="shared" si="31"/>
        <v/>
      </c>
      <c r="AL147" s="17"/>
      <c r="AO147" s="324"/>
      <c r="AP147" s="133"/>
      <c r="AQ147" s="39"/>
      <c r="AR147" s="39"/>
      <c r="AS147" s="400"/>
      <c r="AT147" s="17"/>
      <c r="AU147" s="409"/>
      <c r="AV147" s="324"/>
      <c r="AW147" s="133"/>
      <c r="AX147" s="39"/>
      <c r="AY147" s="136"/>
      <c r="AZ147" s="146"/>
      <c r="BA147" s="8"/>
      <c r="BB147" s="412"/>
      <c r="BE147" s="143"/>
      <c r="BF147" s="14"/>
      <c r="BG147" t="s">
        <v>273</v>
      </c>
    </row>
    <row r="148" spans="1:59" ht="18.600000000000001" customHeight="1" x14ac:dyDescent="0.25">
      <c r="A148" s="5"/>
      <c r="B148" s="11">
        <v>-78.519053</v>
      </c>
      <c r="C148" s="11">
        <v>38.044285000000002</v>
      </c>
      <c r="D148" s="26">
        <v>128.21</v>
      </c>
      <c r="E148" s="1048" t="s">
        <v>289</v>
      </c>
      <c r="F148" s="1048" t="s">
        <v>352</v>
      </c>
      <c r="G148" s="1048" t="s">
        <v>352</v>
      </c>
      <c r="H148" s="1021"/>
      <c r="I148" s="1021"/>
      <c r="J148" s="1048" t="s">
        <v>292</v>
      </c>
      <c r="K148" s="11">
        <v>2.8</v>
      </c>
      <c r="L148" s="11"/>
      <c r="M148" s="11">
        <v>0</v>
      </c>
      <c r="N148" s="11">
        <v>1.17</v>
      </c>
      <c r="O148" s="7">
        <f>+M148/K148</f>
        <v>0</v>
      </c>
      <c r="P148" s="7">
        <f>+N148/K148</f>
        <v>0.41785714285714287</v>
      </c>
      <c r="Q148" s="8"/>
      <c r="R148" s="8"/>
      <c r="S148" s="8"/>
      <c r="T148" s="8">
        <f>IF(J147="TT",IF(F147="u/g detention",(43*0.9*(0.05+0.9*P148)*0.26*$K148*2.72/12)-AK146,(43*0.9*(0.05+0.9*P148)*0.26*$K148*2.72/12)-AK147),43*0.9*(0.05+0.9*P148)*0.26*$K148*2.72/12)</f>
        <v>2.7208989600000009</v>
      </c>
      <c r="U148" s="8">
        <f>T148*5.2</f>
        <v>14.148674592000004</v>
      </c>
      <c r="V148" s="8">
        <f>T148*420.9</f>
        <v>1145.2263722640002</v>
      </c>
      <c r="W148" s="8"/>
      <c r="X148" s="34" t="s">
        <v>278</v>
      </c>
      <c r="Y148" s="257">
        <v>120.3</v>
      </c>
      <c r="Z148" s="257">
        <v>1.17</v>
      </c>
      <c r="AA148" s="258">
        <f>IF(Y148="NA", 0, (Y148/43560)*12/Z148)</f>
        <v>2.8325210143391968E-2</v>
      </c>
      <c r="AB148" s="742" t="s">
        <v>381</v>
      </c>
      <c r="AC148" s="288">
        <f>IF(G148="filterra",0.5, IF(G148="stormfilter",0.45,IF(B148=0,"","NA")))</f>
        <v>0.45</v>
      </c>
      <c r="AD148" s="313">
        <f>IF(AC148="NA",0,IF(AC148="","",T148*AC148))</f>
        <v>1.2244045320000003</v>
      </c>
      <c r="AE148" s="134">
        <f>IF(ISNA(VLOOKUP(H148,'Efficiency Lookup'!$B$2:$C$38,2,FALSE)),0,(VLOOKUP(H148,'Efficiency Lookup'!$B$2:$C$38,2,FALSE)))</f>
        <v>0</v>
      </c>
      <c r="AF148" s="133">
        <f>T148*AE148</f>
        <v>0</v>
      </c>
      <c r="AG148" s="134">
        <f>IF(ISNA(VLOOKUP(I148,'Efficiency Lookup'!$D$2:$E$35,2,FALSE)),0,VLOOKUP(I148,'Efficiency Lookup'!$D$2:$E$35,2,FALSE))</f>
        <v>0</v>
      </c>
      <c r="AH148" s="133">
        <f>T148*AG148</f>
        <v>0</v>
      </c>
      <c r="AI148" s="132">
        <f>IF(X148="RR",IF((0.0304*(AA148^5)-0.2619*(AA148^4)+0.9161*(AA148^3)-1.6837*(AA148^2)+1.7072*AA148-0.0091)&gt;0.85,0.85,IF((0.0304*(AA148^5)-0.2619*(AA148^4)+0.9161*(AA148^3)-1.6837*(AA148^2)+1.7072*AA148-0.0091)&lt;0,0,(0.0304*(AA148^5)-0.2619*(AA148^4)+0.9161*(AA148^3)-1.6837*(AA148^2)+1.7072*AA148-0.0091))),IF((0.0239*(AA148^5)-0.2058*(AA148^4)+0.7198*(AA148^3)-1.3229*(AA148^2)+1.3414*AA148-0.0072)&gt;0.65,0.65,IF((0.0239*(AA148^5)-0.2058*(AA148^4)+0.7198*(AA148^3)-1.3229*(AA148^2)+1.3414*AA148-0.0072)&lt;0,0,(0.0239*(AA148^5)-0.2058*(AA148^4)+0.7198*(AA148^3)-1.3229*(AA148^2)+1.3414*AA148-0.0072))))</f>
        <v>2.9750277025834632E-2</v>
      </c>
      <c r="AJ148" s="133">
        <f>T148*AI148</f>
        <v>8.0947497819305367E-2</v>
      </c>
      <c r="AK148" s="516">
        <f t="shared" si="31"/>
        <v>1.2244045320000003</v>
      </c>
      <c r="AL148" s="1022">
        <f>SUM(AK148:AK148)</f>
        <v>1.2244045320000003</v>
      </c>
      <c r="AM148" s="1005">
        <f>AL148-W147</f>
        <v>-0.25760732400000053</v>
      </c>
      <c r="AN148" s="1016">
        <f>AM148/AL148</f>
        <v>-0.21039396479463573</v>
      </c>
      <c r="AO148" s="138">
        <f>IF(ISNA(VLOOKUP(I148,'Efficiency Lookup'!$D$2:$G$35,3,FALSE)),0,VLOOKUP(I148,'Efficiency Lookup'!$D$2:$G$35,3,FALSE))</f>
        <v>0</v>
      </c>
      <c r="AP148" s="133">
        <f>U148*AO148</f>
        <v>0</v>
      </c>
      <c r="AQ148" s="134">
        <f>IF(X148="RR",IF((0.0308*(AA148^5)-0.2562*(AA148^4)+0.8634*(AA148^3)-1.5285*(AA148^2)+1.501*AA148-0.013)&gt;0.7,0.7,IF((0.0308*(AA148^5)-0.2562*(AA148^4)+0.8634*(AA148^3)-1.5285*(AA148^2)+1.501*AA148-0.013)&lt;0,0,(0.0308*(AA148^5)-0.2562*(AA148^4)+0.8634*(AA148^3)-1.5285*(AA148^2)+1.501*AA148-0.013))),IF((0.0152*(AA148^5)-0.131*(AA148^4)+0.4581*(AA148^3)-0.8418*(AA148^2)+0.8536*AA148-0.0046)&gt;0.65,0.65,IF((0.0152*(AA148^5)-0.131*(AA148^4)+0.4581*(AA148^3)-0.8418*(AA148^2)+0.8536*AA148-0.0046)&lt;0,0,(0.0152*(AA148^5)-0.131*(AA148^4)+0.4581*(AA148^3)-0.8418*(AA148^2)+0.8536*AA148-0.0046))))</f>
        <v>1.8913335127379655E-2</v>
      </c>
      <c r="AR148" s="133">
        <f>U148*AQ148</f>
        <v>0.26759862416673769</v>
      </c>
      <c r="AS148" s="324">
        <f>IF(AK148=AF148,MAX(AP148,AR148),IF(AK148=AH148,AP148,AR148))</f>
        <v>0.26759862416673769</v>
      </c>
      <c r="AT148" s="139">
        <f>SUM(AS148:AS148)</f>
        <v>0.26759862416673769</v>
      </c>
      <c r="AU148" s="645">
        <f>AT148*AN148</f>
        <v>-5.6301135512029567E-2</v>
      </c>
      <c r="AV148" s="138">
        <f>IF(ISNA(VLOOKUP(I148,'Efficiency Lookup'!$D$2:$G$35,4,FALSE)),0,VLOOKUP(I148,'Efficiency Lookup'!$D$2:$G$35,4,FALSE))</f>
        <v>0</v>
      </c>
      <c r="AW148" s="133">
        <f>$V148*AV148</f>
        <v>0</v>
      </c>
      <c r="AX148" s="134">
        <f>IF(X148="RR",IF((0.0326*(AA148^5)-0.2806*(AA148^4)+0.9816*(AA148^3)-1.8039*(AA148^2)+1.8292*AA148-0.0098)&gt;0.85,0.85,IF((0.0326*(AA148^5)-0.2806*(AA148^4)+0.9816*(AA148^3)-1.8039*(AA148^2)+1.8292*AA148-0.0098)&lt;0,0,(0.0326*(AA148^5)-0.2806*(AA148^4)+0.9816*(AA148^3)-1.8039*(AA148^2)+1.8292*AA148-0.0098))),IF((0.0304*(AA148^5)-0.2619*(AA148^4)+0.9161*(AA148^3)-1.6837*(AA148^2)+1.7072*AA148-0.0091)&gt;0.8,0.8,IF((0.0304*(AA148^5)-0.2619*(AA148^4)+0.9161*(AA148^3)-1.6837*(AA148^2)+1.7072*AA148-0.0091)&lt;0,0,(0.0304*(AA148^5)-0.2619*(AA148^4)+0.9161*(AA148^3)-1.6837*(AA148^2)+1.7072*AA148-0.0091))))</f>
        <v>3.7926587814796422E-2</v>
      </c>
      <c r="AY148" s="137">
        <f>$V148*AX148</f>
        <v>43.434528575491342</v>
      </c>
      <c r="AZ148" s="400">
        <f>IF(AS148=AP148,AW148,AY148)</f>
        <v>43.434528575491342</v>
      </c>
      <c r="BA148" s="139">
        <f>SUM(AZ148:AZ148)</f>
        <v>43.434528575491342</v>
      </c>
      <c r="BB148" s="645">
        <f>BA148*AN148</f>
        <v>-9.1383626759835259</v>
      </c>
      <c r="BC148" s="1006">
        <f>AM148</f>
        <v>-0.25760732400000053</v>
      </c>
      <c r="BD148" s="1007">
        <f>AU148</f>
        <v>-5.6301135512029567E-2</v>
      </c>
      <c r="BE148" s="1008">
        <f>BB148</f>
        <v>-9.1383626759835259</v>
      </c>
      <c r="BF148" s="14"/>
      <c r="BG148" t="s">
        <v>287</v>
      </c>
    </row>
    <row r="149" spans="1:59" ht="18.600000000000001" customHeight="1" x14ac:dyDescent="0.25">
      <c r="A149" s="5"/>
      <c r="B149" s="11">
        <v>-78.519053</v>
      </c>
      <c r="C149" s="11">
        <v>38.044285000000002</v>
      </c>
      <c r="D149" s="1048">
        <v>128.19999999999985</v>
      </c>
      <c r="E149" s="1048" t="s">
        <v>293</v>
      </c>
      <c r="F149" s="1021" t="s">
        <v>294</v>
      </c>
      <c r="G149" s="1021"/>
      <c r="K149" s="662">
        <v>2.8</v>
      </c>
      <c r="L149" s="662"/>
      <c r="M149" s="11">
        <v>0</v>
      </c>
      <c r="N149" s="11">
        <v>1.17</v>
      </c>
      <c r="O149" s="7">
        <f>+M149/K149</f>
        <v>0</v>
      </c>
      <c r="P149" s="7">
        <f>+N149/K149</f>
        <v>0.41785714285714287</v>
      </c>
      <c r="Q149" s="8"/>
      <c r="R149" s="8"/>
      <c r="S149" s="8"/>
      <c r="T149" s="8">
        <f>IF(J148="TT",IF(F148="u/g detention",(43*0.9*(0.05+0.9*P149)*0.26*$K149*2.72/12)-AK147,(43*0.9*(0.05+0.9*P149)*0.26*$K149*2.72/12)-AK148),43*0.9*(0.05+0.9*P149)*0.26*$K149*2.72/12)</f>
        <v>1.4964944280000005</v>
      </c>
      <c r="U149" s="8">
        <f>T149*5.2</f>
        <v>7.781771025600003</v>
      </c>
      <c r="V149" s="8">
        <f>T149*420.9</f>
        <v>629.87450474520017</v>
      </c>
      <c r="W149" s="8"/>
      <c r="X149" s="34" t="s">
        <v>278</v>
      </c>
      <c r="Y149" s="257" t="s">
        <v>295</v>
      </c>
      <c r="Z149" s="257">
        <v>2.17</v>
      </c>
      <c r="AA149" s="258">
        <f>IF(Y149="NA", 0, (Y149/43560)*12/Z149)</f>
        <v>0</v>
      </c>
      <c r="AB149" s="742" t="s">
        <v>381</v>
      </c>
      <c r="AC149" s="134" t="str">
        <f>IF(G149="filterra",0.5, IF(G149="stormfilter",0.45,IF(B149=0,"","NA")))</f>
        <v>NA</v>
      </c>
      <c r="AD149" s="741">
        <f>IF(AC149="NA",0,IF(AC149="","",T149*AC149))</f>
        <v>0</v>
      </c>
      <c r="AE149" s="134">
        <f>IF(ISNA(VLOOKUP(H149,'Efficiency Lookup'!$B$2:$C$38,2,FALSE)),0,(VLOOKUP(H149,'Efficiency Lookup'!$B$2:$C$38,2,FALSE)))</f>
        <v>0</v>
      </c>
      <c r="AF149" s="133">
        <f>T149*AE149</f>
        <v>0</v>
      </c>
      <c r="AG149" s="134">
        <f>IF(ISNA(VLOOKUP(I149,'Efficiency Lookup'!$D$2:$E$35,2,FALSE)),0,VLOOKUP(I149,'Efficiency Lookup'!$D$2:$E$35,2,FALSE))</f>
        <v>0</v>
      </c>
      <c r="AH149" s="133">
        <f>T149*AG149</f>
        <v>0</v>
      </c>
      <c r="AI149" s="132">
        <f>IF(X149="RR",IF((0.0304*(AA149^5)-0.2619*(AA149^4)+0.9161*(AA149^3)-1.6837*(AA149^2)+1.7072*AA149-0.0091)&gt;0.85,0.85,IF((0.0304*(AA149^5)-0.2619*(AA149^4)+0.9161*(AA149^3)-1.6837*(AA149^2)+1.7072*AA149-0.0091)&lt;0,0,(0.0304*(AA149^5)-0.2619*(AA149^4)+0.9161*(AA149^3)-1.6837*(AA149^2)+1.7072*AA149-0.0091))),IF((0.0239*(AA149^5)-0.2058*(AA149^4)+0.7198*(AA149^3)-1.3229*(AA149^2)+1.3414*AA149-0.0072)&gt;0.65,0.65,IF((0.0239*(AA149^5)-0.2058*(AA149^4)+0.7198*(AA149^3)-1.3229*(AA149^2)+1.3414*AA149-0.0072)&lt;0,0,(0.0239*(AA149^5)-0.2058*(AA149^4)+0.7198*(AA149^3)-1.3229*(AA149^2)+1.3414*AA149-0.0072))))</f>
        <v>0</v>
      </c>
      <c r="AJ149" s="133">
        <f>T149*AI149</f>
        <v>0</v>
      </c>
      <c r="AK149" s="516">
        <f t="shared" si="31"/>
        <v>0</v>
      </c>
      <c r="AL149" s="1022">
        <f>SUM(AK149:AK149)</f>
        <v>0</v>
      </c>
      <c r="AM149" s="1005">
        <f>AL149-W148</f>
        <v>0</v>
      </c>
      <c r="AN149" s="1016" t="e">
        <f>AM149/AL149</f>
        <v>#DIV/0!</v>
      </c>
      <c r="AO149" s="138">
        <f>IF(ISNA(VLOOKUP(I149,'Efficiency Lookup'!$D$2:$G$35,3,FALSE)),0,VLOOKUP(I149,'Efficiency Lookup'!$D$2:$G$35,3,FALSE))</f>
        <v>0</v>
      </c>
      <c r="AP149" s="133">
        <f>U149*AO149</f>
        <v>0</v>
      </c>
      <c r="AQ149" s="134">
        <f>IF(X149="RR",IF((0.0308*(AA149^5)-0.2562*(AA149^4)+0.8634*(AA149^3)-1.5285*(AA149^2)+1.501*AA149-0.013)&gt;0.7,0.7,IF((0.0308*(AA149^5)-0.2562*(AA149^4)+0.8634*(AA149^3)-1.5285*(AA149^2)+1.501*AA149-0.013)&lt;0,0,(0.0308*(AA149^5)-0.2562*(AA149^4)+0.8634*(AA149^3)-1.5285*(AA149^2)+1.501*AA149-0.013))),IF((0.0152*(AA149^5)-0.131*(AA149^4)+0.4581*(AA149^3)-0.8418*(AA149^2)+0.8536*AA149-0.0046)&gt;0.65,0.65,IF((0.0152*(AA149^5)-0.131*(AA149^4)+0.4581*(AA149^3)-0.8418*(AA149^2)+0.8536*AA149-0.0046)&lt;0,0,(0.0152*(AA149^5)-0.131*(AA149^4)+0.4581*(AA149^3)-0.8418*(AA149^2)+0.8536*AA149-0.0046))))</f>
        <v>0</v>
      </c>
      <c r="AR149" s="133">
        <f>U149*AQ149</f>
        <v>0</v>
      </c>
      <c r="AS149" s="324">
        <f>IF(AK149=AF149,MAX(AP149,AR149),IF(AK149=AH149,AP149,AR149))</f>
        <v>0</v>
      </c>
      <c r="AT149" s="139">
        <f>SUM(AS149:AS149)</f>
        <v>0</v>
      </c>
      <c r="AU149" s="645" t="e">
        <f>AT149*AN149</f>
        <v>#DIV/0!</v>
      </c>
      <c r="AV149" s="138">
        <f>IF(ISNA(VLOOKUP(I149,'Efficiency Lookup'!$D$2:$G$35,4,FALSE)),0,VLOOKUP(I149,'Efficiency Lookup'!$D$2:$G$35,4,FALSE))</f>
        <v>0</v>
      </c>
      <c r="AW149" s="133">
        <f>$V149*AV149</f>
        <v>0</v>
      </c>
      <c r="AX149" s="134">
        <f>IF(X149="RR",IF((0.0326*(AA149^5)-0.2806*(AA149^4)+0.9816*(AA149^3)-1.8039*(AA149^2)+1.8292*AA149-0.0098)&gt;0.85,0.85,IF((0.0326*(AA149^5)-0.2806*(AA149^4)+0.9816*(AA149^3)-1.8039*(AA149^2)+1.8292*AA149-0.0098)&lt;0,0,(0.0326*(AA149^5)-0.2806*(AA149^4)+0.9816*(AA149^3)-1.8039*(AA149^2)+1.8292*AA149-0.0098))),IF((0.0304*(AA149^5)-0.2619*(AA149^4)+0.9161*(AA149^3)-1.6837*(AA149^2)+1.7072*AA149-0.0091)&gt;0.8,0.8,IF((0.0304*(AA149^5)-0.2619*(AA149^4)+0.9161*(AA149^3)-1.6837*(AA149^2)+1.7072*AA149-0.0091)&lt;0,0,(0.0304*(AA149^5)-0.2619*(AA149^4)+0.9161*(AA149^3)-1.6837*(AA149^2)+1.7072*AA149-0.0091))))</f>
        <v>0</v>
      </c>
      <c r="AY149" s="137">
        <f>$V149*AX149</f>
        <v>0</v>
      </c>
      <c r="AZ149" s="400">
        <f>IF(AS149=AP149,AW149,AY149)</f>
        <v>0</v>
      </c>
      <c r="BA149" s="139">
        <f>SUM(AZ149:AZ149)</f>
        <v>0</v>
      </c>
      <c r="BB149" s="645" t="e">
        <f>BA149*AN149</f>
        <v>#DIV/0!</v>
      </c>
      <c r="BC149" s="1006">
        <f>AM149</f>
        <v>0</v>
      </c>
      <c r="BD149" s="1007">
        <v>0</v>
      </c>
      <c r="BE149" s="1008">
        <v>0</v>
      </c>
      <c r="BF149" s="14"/>
    </row>
    <row r="150" spans="1:59" s="268" customFormat="1" ht="18.600000000000001" customHeight="1" x14ac:dyDescent="0.25">
      <c r="B150" s="271"/>
      <c r="C150" s="271"/>
      <c r="G150" s="277"/>
      <c r="H150" s="263"/>
      <c r="I150" s="263"/>
      <c r="Q150" s="264"/>
      <c r="S150" s="264"/>
      <c r="T150" s="264"/>
      <c r="U150" s="264"/>
      <c r="V150" s="264"/>
      <c r="W150" s="264"/>
      <c r="X150" s="266"/>
      <c r="Y150" s="265"/>
      <c r="Z150" s="265"/>
      <c r="AA150" s="266"/>
      <c r="AB150" s="747" t="s">
        <v>297</v>
      </c>
      <c r="AC150" s="322" t="str">
        <f t="shared" si="30"/>
        <v/>
      </c>
      <c r="AD150" s="274" t="str">
        <f t="shared" si="50"/>
        <v/>
      </c>
      <c r="AE150" s="274"/>
      <c r="AF150" s="266"/>
      <c r="AG150" s="274"/>
      <c r="AH150" s="274"/>
      <c r="AI150" s="274"/>
      <c r="AJ150" s="274"/>
      <c r="AK150" s="325" t="str">
        <f t="shared" si="31"/>
        <v/>
      </c>
      <c r="AO150" s="325"/>
      <c r="AP150" s="274"/>
      <c r="AQ150" s="274"/>
      <c r="AR150" s="274"/>
      <c r="AS150" s="326"/>
      <c r="AU150" s="314"/>
      <c r="AV150" s="325"/>
      <c r="AW150" s="274"/>
      <c r="AX150" s="274"/>
      <c r="AY150" s="275"/>
      <c r="AZ150" s="326"/>
      <c r="BB150" s="331"/>
      <c r="BE150" s="331"/>
    </row>
    <row r="151" spans="1:59" ht="18.600000000000001" customHeight="1" x14ac:dyDescent="0.25">
      <c r="A151" s="11" t="s">
        <v>435</v>
      </c>
      <c r="B151" s="11"/>
      <c r="C151" s="11"/>
      <c r="D151" s="1111" t="s">
        <v>271</v>
      </c>
      <c r="E151" s="1116"/>
      <c r="F151" s="1019"/>
      <c r="G151" s="1019"/>
      <c r="H151" s="1021"/>
      <c r="J151" s="1019"/>
      <c r="K151" s="11">
        <v>3.49</v>
      </c>
      <c r="L151" s="11"/>
      <c r="M151" s="11">
        <v>0.45</v>
      </c>
      <c r="N151" s="9">
        <v>2.35</v>
      </c>
      <c r="O151" s="7">
        <f>+M151/K151</f>
        <v>0.12893982808022922</v>
      </c>
      <c r="P151" s="7">
        <f>+N151/K151</f>
        <v>0.67335243553008595</v>
      </c>
      <c r="Q151" s="8">
        <f>43*0.9*(0.05+0.9*0.16)*0.26*$K151*2.72/12</f>
        <v>1.5441842832000006</v>
      </c>
      <c r="R151" s="39">
        <f>43*0.9*(0.05+0.9*O151)*0.26*$K151*2.72/12</f>
        <v>1.3216772400000001</v>
      </c>
      <c r="S151" s="8">
        <f>IF(J151="R",R151,Q151)</f>
        <v>1.5441842832000006</v>
      </c>
      <c r="T151" s="8">
        <f>43*0.9*(0.05+0.9*P151)*0.26*$K151*2.72/12</f>
        <v>5.2217084400000022</v>
      </c>
      <c r="U151" s="8">
        <f>T151*5.2</f>
        <v>27.152883888000012</v>
      </c>
      <c r="V151" s="8">
        <f>T151*420.9</f>
        <v>2197.8170823960008</v>
      </c>
      <c r="W151" s="8">
        <f>IF(P151 &lt; 16%, 0, IF(K151 &lt; 1, 0, T151-S151))</f>
        <v>3.6775241568000014</v>
      </c>
      <c r="X151" s="14"/>
      <c r="Y151" s="14"/>
      <c r="Z151" s="14"/>
      <c r="AA151" s="14"/>
      <c r="AB151" s="742" t="s">
        <v>297</v>
      </c>
      <c r="AC151" s="134" t="str">
        <f t="shared" si="30"/>
        <v/>
      </c>
      <c r="AD151" s="133" t="str">
        <f t="shared" si="50"/>
        <v/>
      </c>
      <c r="AE151" s="133"/>
      <c r="AF151" s="34"/>
      <c r="AG151" s="133"/>
      <c r="AH151" s="133"/>
      <c r="AI151" s="133"/>
      <c r="AJ151" s="133"/>
      <c r="AK151" s="324" t="str">
        <f t="shared" si="31"/>
        <v/>
      </c>
      <c r="AO151" s="324"/>
      <c r="AP151" s="133"/>
      <c r="AQ151" s="133"/>
      <c r="AR151" s="133"/>
      <c r="AS151" s="306"/>
      <c r="AU151" s="38"/>
      <c r="AV151" s="324"/>
      <c r="AW151" s="133"/>
      <c r="AX151" s="133"/>
      <c r="AY151" s="137"/>
      <c r="AZ151" s="146"/>
      <c r="BA151" s="8"/>
      <c r="BB151" s="143"/>
      <c r="BE151" s="143"/>
      <c r="BF151" s="14" t="s">
        <v>341</v>
      </c>
      <c r="BG151" t="s">
        <v>300</v>
      </c>
    </row>
    <row r="152" spans="1:59" ht="18.600000000000001" customHeight="1" x14ac:dyDescent="0.25">
      <c r="A152" s="11"/>
      <c r="B152" s="11">
        <v>-78.468909999999994</v>
      </c>
      <c r="C152" s="11">
        <v>38.091034999999998</v>
      </c>
      <c r="D152" s="26" t="s">
        <v>436</v>
      </c>
      <c r="E152" s="1015" t="s">
        <v>289</v>
      </c>
      <c r="F152" s="1015" t="s">
        <v>437</v>
      </c>
      <c r="G152" s="1015" t="s">
        <v>291</v>
      </c>
      <c r="H152" s="1021"/>
      <c r="I152" s="1021"/>
      <c r="J152" s="1015" t="s">
        <v>292</v>
      </c>
      <c r="K152" s="11">
        <v>0.64</v>
      </c>
      <c r="L152" s="11"/>
      <c r="M152" s="11">
        <v>0</v>
      </c>
      <c r="N152" s="9">
        <v>0.64</v>
      </c>
      <c r="O152" s="7">
        <f>+M152/K152</f>
        <v>0</v>
      </c>
      <c r="P152" s="7">
        <f>+N152/K152</f>
        <v>1</v>
      </c>
      <c r="Q152" s="8"/>
      <c r="R152" s="8"/>
      <c r="S152" s="8"/>
      <c r="T152" s="8">
        <f>IF(J151="TT",IF(F151="u/g detention",(43*0.9*(0.05+0.9*P152)*0.26*$K152*2.72/12)-AK150,(43*0.9*(0.05+0.9*P152)*0.26*$K152*2.72/12)-AK151),43*0.9*(0.05+0.9*P152)*0.26*$K152*2.72/12)</f>
        <v>1.3866777600000006</v>
      </c>
      <c r="U152" s="8">
        <f>T152*5.2</f>
        <v>7.2107243520000033</v>
      </c>
      <c r="V152" s="8">
        <f>T152*420.9</f>
        <v>583.65266918400027</v>
      </c>
      <c r="W152" s="8"/>
      <c r="X152" s="14" t="s">
        <v>278</v>
      </c>
      <c r="Y152" s="257">
        <v>102.6</v>
      </c>
      <c r="Z152" s="257">
        <v>0.64</v>
      </c>
      <c r="AA152" s="258">
        <f>IF(Y152="NA", 0, (Y152/43560)*12/Z152)</f>
        <v>4.4163223140495859E-2</v>
      </c>
      <c r="AB152" s="742" t="s">
        <v>286</v>
      </c>
      <c r="AC152" s="288">
        <f t="shared" si="30"/>
        <v>0.5</v>
      </c>
      <c r="AD152" s="313">
        <f t="shared" ref="AD152:AD183" si="51">IF(AC152="NA",0,IF(AC152="","",T152*AC152))</f>
        <v>0.69333888000000032</v>
      </c>
      <c r="AE152" s="134">
        <f>IF(ISNA(VLOOKUP(H152,'Efficiency Lookup'!$B$2:$C$38,2,FALSE)),0,(VLOOKUP(H152,'Efficiency Lookup'!$B$2:$C$38,2,FALSE)))</f>
        <v>0</v>
      </c>
      <c r="AF152" s="133">
        <f>T152*AE152</f>
        <v>0</v>
      </c>
      <c r="AG152" s="134">
        <f>IF(ISNA(VLOOKUP(I152,'Efficiency Lookup'!$D$2:$E$35,2,FALSE)),0,VLOOKUP(I152,'Efficiency Lookup'!$D$2:$E$35,2,FALSE))</f>
        <v>0</v>
      </c>
      <c r="AH152" s="133">
        <f>T152*AG152</f>
        <v>0</v>
      </c>
      <c r="AI152" s="132">
        <f>IF(X152="RR",IF((0.0304*(AA152^5)-0.2619*(AA152^4)+0.9161*(AA152^3)-1.6837*(AA152^2)+1.7072*AA152-0.0091)&gt;0.85,0.85,IF((0.0304*(AA152^5)-0.2619*(AA152^4)+0.9161*(AA152^3)-1.6837*(AA152^2)+1.7072*AA152-0.0091)&lt;0,0,(0.0304*(AA152^5)-0.2619*(AA152^4)+0.9161*(AA152^3)-1.6837*(AA152^2)+1.7072*AA152-0.0091))),IF((0.0239*(AA152^5)-0.2058*(AA152^4)+0.7198*(AA152^3)-1.3229*(AA152^2)+1.3414*AA152-0.0072)&gt;0.65,0.65,IF((0.0239*(AA152^5)-0.2058*(AA152^4)+0.7198*(AA152^3)-1.3229*(AA152^2)+1.3414*AA152-0.0072)&lt;0,0,(0.0239*(AA152^5)-0.2058*(AA152^4)+0.7198*(AA152^3)-1.3229*(AA152^2)+1.3414*AA152-0.0072))))</f>
        <v>4.9521597717122758E-2</v>
      </c>
      <c r="AJ152" s="133">
        <f>T152*AI152</f>
        <v>6.8670498194000937E-2</v>
      </c>
      <c r="AK152" s="146">
        <f t="shared" si="31"/>
        <v>0.69333888000000032</v>
      </c>
      <c r="AL152" s="1100">
        <f>SUM(AK152:AK154)</f>
        <v>3.2414904054000009</v>
      </c>
      <c r="AM152" s="1100">
        <f>AL152-W151</f>
        <v>-0.43603375140000056</v>
      </c>
      <c r="AN152" s="1112">
        <f>AM152/AL152</f>
        <v>-0.13451644054648801</v>
      </c>
      <c r="AO152" s="138">
        <f>IF(ISNA(VLOOKUP(I152,'Efficiency Lookup'!$D$2:$G$35,3,FALSE)),0,VLOOKUP(I152,'Efficiency Lookup'!$D$2:$G$35,3,FALSE))</f>
        <v>0</v>
      </c>
      <c r="AP152" s="133">
        <f>U152*AO152</f>
        <v>0</v>
      </c>
      <c r="AQ152" s="135">
        <f>IF(X152="RR",IF((0.0308*(AA152^5)-0.2562*(AA152^4)+0.8634*(AA152^3)-1.5285*(AA152^2)+1.501*AA152-0.013)&gt;0.7,0.7,IF((0.0308*(AA152^5)-0.2562*(AA152^4)+0.8634*(AA152^3)-1.5285*(AA152^2)+1.501*AA152-0.013)&lt;0,0,(0.0308*(AA152^5)-0.2562*(AA152^4)+0.8634*(AA152^3)-1.5285*(AA152^2)+1.501*AA152-0.013))),IF((0.0152*(AA152^5)-0.131*(AA152^4)+0.4581*(AA152^3)-0.8418*(AA152^2)+0.8536*AA152-0.0046)&gt;0.65,0.65,IF((0.0152*(AA152^5)-0.131*(AA152^4)+0.4581*(AA152^3)-0.8418*(AA152^2)+0.8536*AA152-0.0046)&lt;0,0,(0.0152*(AA152^5)-0.131*(AA152^4)+0.4581*(AA152^3)-0.8418*(AA152^2)+0.8536*AA152-0.0046))))</f>
        <v>3.1494851645429284E-2</v>
      </c>
      <c r="AR152" s="34">
        <f>U152*AQ152</f>
        <v>0.2271006937223243</v>
      </c>
      <c r="AS152" s="400">
        <f>IF(AK152=AF152,MAX(AP152,AR152),IF(AK152=AH152,AP152,AR152))</f>
        <v>0.2271006937223243</v>
      </c>
      <c r="AT152" s="1100">
        <f>SUM(AS152:AS154)</f>
        <v>1.5565099532988393</v>
      </c>
      <c r="AU152" s="1104">
        <f>AT152*AN152</f>
        <v>-0.20937617859294014</v>
      </c>
      <c r="AV152" s="138">
        <f>IF(ISNA(VLOOKUP(I152,'Efficiency Lookup'!$D$2:$G$35,4,FALSE)),0,VLOOKUP(I152,'Efficiency Lookup'!$D$2:$G$35,4,FALSE))</f>
        <v>0</v>
      </c>
      <c r="AW152" s="133">
        <f>$V152*AV152</f>
        <v>0</v>
      </c>
      <c r="AX152" s="135">
        <f>IF(X152="RR",IF((0.0326*(AA152^5)-0.2806*(AA152^4)+0.9816*(AA152^3)-1.8039*(AA152^2)+1.8292*AA152-0.0098)&gt;0.85,0.85,IF((0.0326*(AA152^5)-0.2806*(AA152^4)+0.9816*(AA152^3)-1.8039*(AA152^2)+1.8292*AA152-0.0098)&lt;0,0,(0.0326*(AA152^5)-0.2806*(AA152^4)+0.9816*(AA152^3)-1.8039*(AA152^2)+1.8292*AA152-0.0098))),IF((0.0304*(AA152^5)-0.2619*(AA152^4)+0.9161*(AA152^3)-1.6837*(AA152^2)+1.7072*AA152-0.0091)&gt;0.8,0.8,IF((0.0304*(AA152^5)-0.2619*(AA152^4)+0.9161*(AA152^3)-1.6837*(AA152^2)+1.7072*AA152-0.0091)&lt;0,0,(0.0304*(AA152^5)-0.2619*(AA152^4)+0.9161*(AA152^3)-1.6837*(AA152^2)+1.7072*AA152-0.0091))))</f>
        <v>6.3089500018680869E-2</v>
      </c>
      <c r="AY152" s="144">
        <f>$V152*AX152</f>
        <v>36.822355083387123</v>
      </c>
      <c r="AZ152" s="400">
        <f>IF(AS152=AP152,AW152,AY152)</f>
        <v>36.822355083387123</v>
      </c>
      <c r="BA152" s="1100">
        <f>SUM(AZ152:AZ154)</f>
        <v>252.23014208780663</v>
      </c>
      <c r="BB152" s="1104">
        <f>BA152*AN152</f>
        <v>-33.929100912186662</v>
      </c>
      <c r="BC152" s="1105">
        <f>AM152</f>
        <v>-0.43603375140000056</v>
      </c>
      <c r="BD152" s="1106">
        <f>AU152</f>
        <v>-0.20937617859294014</v>
      </c>
      <c r="BE152" s="1107">
        <f>BB152</f>
        <v>-33.929100912186662</v>
      </c>
      <c r="BF152" s="14"/>
    </row>
    <row r="153" spans="1:59" ht="18.600000000000001" customHeight="1" x14ac:dyDescent="0.25">
      <c r="A153" s="11"/>
      <c r="B153" s="11">
        <v>-78.469200000000001</v>
      </c>
      <c r="C153" s="11">
        <v>38.090704000000002</v>
      </c>
      <c r="D153" s="26">
        <v>410.02</v>
      </c>
      <c r="E153" s="1048" t="s">
        <v>289</v>
      </c>
      <c r="F153" s="1021" t="s">
        <v>438</v>
      </c>
      <c r="G153" s="1021"/>
      <c r="H153" s="1021"/>
      <c r="I153" s="1021" t="s">
        <v>439</v>
      </c>
      <c r="J153" s="1015" t="s">
        <v>292</v>
      </c>
      <c r="K153" s="11">
        <v>2.79</v>
      </c>
      <c r="L153" s="11"/>
      <c r="M153" s="11">
        <v>0</v>
      </c>
      <c r="N153" s="11">
        <v>2.34</v>
      </c>
      <c r="O153" s="7">
        <f>+M153/K153</f>
        <v>0</v>
      </c>
      <c r="P153" s="7">
        <f>+N153/K153</f>
        <v>0.83870967741935476</v>
      </c>
      <c r="Q153" s="8"/>
      <c r="R153" s="8"/>
      <c r="S153" s="8"/>
      <c r="T153" s="8">
        <f>IF(J152="TT",IF(F152="u/g detention",(43*0.9*(0.05+0.9*P153)*0.26*$K153*2.72/12)-AK151,(43*0.9*(0.05+0.9*P153)*0.26*$K153*2.72/12)-AK152),43*0.9*(0.05+0.9*P153)*0.26*$K153*2.72/12)</f>
        <v>4.4280178800000005</v>
      </c>
      <c r="U153" s="8">
        <f>T153*5.2</f>
        <v>23.025692976000002</v>
      </c>
      <c r="V153" s="8">
        <f>T153*420.9</f>
        <v>1863.752725692</v>
      </c>
      <c r="W153" s="8"/>
      <c r="X153" s="14" t="s">
        <v>278</v>
      </c>
      <c r="Y153" s="257" t="s">
        <v>295</v>
      </c>
      <c r="Z153" s="257" t="s">
        <v>295</v>
      </c>
      <c r="AA153" s="258">
        <f>IF(Y153="NA", 0, (Y153/43560)*12/Z153)</f>
        <v>0</v>
      </c>
      <c r="AB153" s="742" t="s">
        <v>296</v>
      </c>
      <c r="AC153" s="134" t="str">
        <f t="shared" ref="AC153:AC207" si="52">IF(G153="filterra",0.5, IF(G153="stormfilter",0.45,IF(B153=0,"","NA")))</f>
        <v>NA</v>
      </c>
      <c r="AD153" s="133">
        <f t="shared" si="51"/>
        <v>0</v>
      </c>
      <c r="AE153" s="134">
        <f>IF(ISNA(VLOOKUP(H153,'Efficiency Lookup'!$B$2:$C$38,2,FALSE)),0,(VLOOKUP(H153,'Efficiency Lookup'!$B$2:$C$38,2,FALSE)))</f>
        <v>0</v>
      </c>
      <c r="AF153" s="133">
        <f>T153*AE153</f>
        <v>0</v>
      </c>
      <c r="AG153" s="288">
        <f>IF(ISNA(VLOOKUP(I153,'Efficiency Lookup'!$D$2:$E$35,2,FALSE)),0,VLOOKUP(I153,'Efficiency Lookup'!$D$2:$E$35,2,FALSE))</f>
        <v>0.1</v>
      </c>
      <c r="AH153" s="313">
        <f>T153*AG153</f>
        <v>0.44280178800000008</v>
      </c>
      <c r="AI153" s="132">
        <f>IF(X153="RR",IF((0.0304*(AA153^5)-0.2619*(AA153^4)+0.9161*(AA153^3)-1.6837*(AA153^2)+1.7072*AA153-0.0091)&gt;0.85,0.85,IF((0.0304*(AA153^5)-0.2619*(AA153^4)+0.9161*(AA153^3)-1.6837*(AA153^2)+1.7072*AA153-0.0091)&lt;0,0,(0.0304*(AA153^5)-0.2619*(AA153^4)+0.9161*(AA153^3)-1.6837*(AA153^2)+1.7072*AA153-0.0091))),IF((0.0239*(AA153^5)-0.2058*(AA153^4)+0.7198*(AA153^3)-1.3229*(AA153^2)+1.3414*AA153-0.0072)&gt;0.65,0.65,IF((0.0239*(AA153^5)-0.2058*(AA153^4)+0.7198*(AA153^3)-1.3229*(AA153^2)+1.3414*AA153-0.0072)&lt;0,0,(0.0239*(AA153^5)-0.2058*(AA153^4)+0.7198*(AA153^3)-1.3229*(AA153^2)+1.3414*AA153-0.0072))))</f>
        <v>0</v>
      </c>
      <c r="AJ153" s="133">
        <f>T153*AI153</f>
        <v>0</v>
      </c>
      <c r="AK153" s="146">
        <f t="shared" ref="AK153:AK207" si="53">IF(AC153="","",MAX(AD153,AF153,AH153,AJ153))</f>
        <v>0.44280178800000008</v>
      </c>
      <c r="AL153" s="1100"/>
      <c r="AM153" s="1100"/>
      <c r="AN153" s="1112"/>
      <c r="AO153" s="147">
        <f>IF(ISNA(VLOOKUP(I153,'Efficiency Lookup'!$D$2:$G$35,3,FALSE)),0,VLOOKUP(I153,'Efficiency Lookup'!$D$2:$G$35,3,FALSE))</f>
        <v>0.05</v>
      </c>
      <c r="AP153" s="34">
        <f>U153*AO153</f>
        <v>1.1512846488000001</v>
      </c>
      <c r="AQ153" s="134">
        <f>IF(X153="RR",IF((0.0308*(AA153^5)-0.2562*(AA153^4)+0.8634*(AA153^3)-1.5285*(AA153^2)+1.501*AA153-0.013)&gt;0.7,0.7,IF((0.0308*(AA153^5)-0.2562*(AA153^4)+0.8634*(AA153^3)-1.5285*(AA153^2)+1.501*AA153-0.013)&lt;0,0,(0.0308*(AA153^5)-0.2562*(AA153^4)+0.8634*(AA153^3)-1.5285*(AA153^2)+1.501*AA153-0.013))),IF((0.0152*(AA153^5)-0.131*(AA153^4)+0.4581*(AA153^3)-0.8418*(AA153^2)+0.8536*AA153-0.0046)&gt;0.65,0.65,IF((0.0152*(AA153^5)-0.131*(AA153^4)+0.4581*(AA153^3)-0.8418*(AA153^2)+0.8536*AA153-0.0046)&lt;0,0,(0.0152*(AA153^5)-0.131*(AA153^4)+0.4581*(AA153^3)-0.8418*(AA153^2)+0.8536*AA153-0.0046))))</f>
        <v>0</v>
      </c>
      <c r="AR153" s="133">
        <f>U153*AQ153</f>
        <v>0</v>
      </c>
      <c r="AS153" s="400">
        <f>IF(AK153=AF153,MAX(AP153,AR153),IF(AK153=AH153,AP153,AR153))</f>
        <v>1.1512846488000001</v>
      </c>
      <c r="AT153" s="1100"/>
      <c r="AU153" s="1104"/>
      <c r="AV153" s="147">
        <f>IF(ISNA(VLOOKUP(I153,'Efficiency Lookup'!$D$2:$G$35,4,FALSE)),0,VLOOKUP(I153,'Efficiency Lookup'!$D$2:$G$35,4,FALSE))</f>
        <v>0.1</v>
      </c>
      <c r="AW153" s="34">
        <f>$V153*AV153</f>
        <v>186.37527256920001</v>
      </c>
      <c r="AX153" s="134">
        <f>IF(X153="RR",IF((0.0326*(AA153^5)-0.2806*(AA153^4)+0.9816*(AA153^3)-1.8039*(AA153^2)+1.8292*AA153-0.0098)&gt;0.85,0.85,IF((0.0326*(AA153^5)-0.2806*(AA153^4)+0.9816*(AA153^3)-1.8039*(AA153^2)+1.8292*AA153-0.0098)&lt;0,0,(0.0326*(AA153^5)-0.2806*(AA153^4)+0.9816*(AA153^3)-1.8039*(AA153^2)+1.8292*AA153-0.0098))),IF((0.0304*(AA153^5)-0.2619*(AA153^4)+0.9161*(AA153^3)-1.6837*(AA153^2)+1.7072*AA153-0.0091)&gt;0.8,0.8,IF((0.0304*(AA153^5)-0.2619*(AA153^4)+0.9161*(AA153^3)-1.6837*(AA153^2)+1.7072*AA153-0.0091)&lt;0,0,(0.0304*(AA153^5)-0.2619*(AA153^4)+0.9161*(AA153^3)-1.6837*(AA153^2)+1.7072*AA153-0.0091))))</f>
        <v>0</v>
      </c>
      <c r="AY153" s="137">
        <f>$V153*AX153</f>
        <v>0</v>
      </c>
      <c r="AZ153" s="400">
        <f>IF(AS153=AP153,AW153,AY153)</f>
        <v>186.37527256920001</v>
      </c>
      <c r="BA153" s="1100"/>
      <c r="BB153" s="1104"/>
      <c r="BC153" s="1105"/>
      <c r="BD153" s="1106"/>
      <c r="BE153" s="1107"/>
      <c r="BF153" s="14"/>
    </row>
    <row r="154" spans="1:59" ht="18.600000000000001" customHeight="1" x14ac:dyDescent="0.25">
      <c r="A154" s="5"/>
      <c r="B154" s="11">
        <v>-78.468947999999997</v>
      </c>
      <c r="C154" s="11">
        <v>38.091085999999997</v>
      </c>
      <c r="D154" s="26">
        <v>410.01</v>
      </c>
      <c r="E154" s="1048" t="s">
        <v>289</v>
      </c>
      <c r="F154" s="1021" t="s">
        <v>352</v>
      </c>
      <c r="G154" s="1021" t="s">
        <v>352</v>
      </c>
      <c r="H154" s="1021"/>
      <c r="I154" s="1021"/>
      <c r="J154" s="1048"/>
      <c r="K154" s="11">
        <v>2.79</v>
      </c>
      <c r="L154" s="11"/>
      <c r="M154" s="11">
        <v>0</v>
      </c>
      <c r="N154" s="11">
        <v>2.34</v>
      </c>
      <c r="O154" s="7">
        <f>+M154/K154</f>
        <v>0</v>
      </c>
      <c r="P154" s="7">
        <f>+N154/K154</f>
        <v>0.83870967741935476</v>
      </c>
      <c r="Q154" s="8"/>
      <c r="R154" s="8"/>
      <c r="S154" s="8"/>
      <c r="T154" s="8">
        <f>IF(J153="TT",IF(F153="u/g detention",(43*0.9*(0.05+0.9*P154)*0.26*$K154*2.72/12)-AK152,(43*0.9*(0.05+0.9*P154)*0.26*$K154*2.72/12)-AK153),43*0.9*(0.05+0.9*P154)*0.26*$K154*2.72/12)</f>
        <v>4.6785549720000015</v>
      </c>
      <c r="U154" s="8">
        <f>T154*5.2</f>
        <v>24.328485854400007</v>
      </c>
      <c r="V154" s="8">
        <f>T154*420.9</f>
        <v>1969.2037877148005</v>
      </c>
      <c r="W154" s="8"/>
      <c r="X154" s="34" t="s">
        <v>278</v>
      </c>
      <c r="Y154" s="257">
        <v>120.3</v>
      </c>
      <c r="Z154" s="257">
        <v>2.34</v>
      </c>
      <c r="AA154" s="258">
        <f>IF(Y154="NA", 0, (Y154/43560)*12/Z154)</f>
        <v>1.4162605071695984E-2</v>
      </c>
      <c r="AB154" s="742" t="s">
        <v>286</v>
      </c>
      <c r="AC154" s="288">
        <f t="shared" si="52"/>
        <v>0.45</v>
      </c>
      <c r="AD154" s="313">
        <f t="shared" si="51"/>
        <v>2.1053497374000005</v>
      </c>
      <c r="AE154" s="134">
        <f>IF(ISNA(VLOOKUP(H154,'Efficiency Lookup'!$B$2:$C$38,2,FALSE)),0,(VLOOKUP(H154,'Efficiency Lookup'!$B$2:$C$38,2,FALSE)))</f>
        <v>0</v>
      </c>
      <c r="AF154" s="133">
        <f>T154*AE154</f>
        <v>0</v>
      </c>
      <c r="AG154" s="134">
        <f>IF(ISNA(VLOOKUP(I154,'Efficiency Lookup'!$D$2:$E$35,2,FALSE)),0,VLOOKUP(I154,'Efficiency Lookup'!$D$2:$E$35,2,FALSE))</f>
        <v>0</v>
      </c>
      <c r="AH154" s="133">
        <f>T154*AG154</f>
        <v>0</v>
      </c>
      <c r="AI154" s="132">
        <f>IF(X154="RR",IF((0.0304*(AA154^5)-0.2619*(AA154^4)+0.9161*(AA154^3)-1.6837*(AA154^2)+1.7072*AA154-0.0091)&gt;0.85,0.85,IF((0.0304*(AA154^5)-0.2619*(AA154^4)+0.9161*(AA154^3)-1.6837*(AA154^2)+1.7072*AA154-0.0091)&lt;0,0,(0.0304*(AA154^5)-0.2619*(AA154^4)+0.9161*(AA154^3)-1.6837*(AA154^2)+1.7072*AA154-0.0091))),IF((0.0239*(AA154^5)-0.2058*(AA154^4)+0.7198*(AA154^3)-1.3229*(AA154^2)+1.3414*AA154-0.0072)&gt;0.65,0.65,IF((0.0239*(AA154^5)-0.2058*(AA154^4)+0.7198*(AA154^3)-1.3229*(AA154^2)+1.3414*AA154-0.0072)&lt;0,0,(0.0239*(AA154^5)-0.2058*(AA154^4)+0.7198*(AA154^3)-1.3229*(AA154^2)+1.3414*AA154-0.0072))))</f>
        <v>1.1534408467019279E-2</v>
      </c>
      <c r="AJ154" s="133">
        <f>T154*AI154</f>
        <v>5.3964364082451963E-2</v>
      </c>
      <c r="AK154" s="146">
        <f t="shared" si="53"/>
        <v>2.1053497374000005</v>
      </c>
      <c r="AL154" s="1100"/>
      <c r="AM154" s="1100"/>
      <c r="AN154" s="1112"/>
      <c r="AO154" s="138">
        <f>IF(ISNA(VLOOKUP(I154,'Efficiency Lookup'!$D$2:$G$35,3,FALSE)),0,VLOOKUP(I154,'Efficiency Lookup'!$D$2:$G$35,3,FALSE))</f>
        <v>0</v>
      </c>
      <c r="AP154" s="133">
        <f>U154*AO154</f>
        <v>0</v>
      </c>
      <c r="AQ154" s="135">
        <f>IF(X154="RR",IF((0.0308*(AA154^5)-0.2562*(AA154^4)+0.8634*(AA154^3)-1.5285*(AA154^2)+1.501*AA154-0.013)&gt;0.7,0.7,IF((0.0308*(AA154^5)-0.2562*(AA154^4)+0.8634*(AA154^3)-1.5285*(AA154^2)+1.501*AA154-0.013)&lt;0,0,(0.0308*(AA154^5)-0.2562*(AA154^4)+0.8634*(AA154^3)-1.5285*(AA154^2)+1.501*AA154-0.013))),IF((0.0152*(AA154^5)-0.131*(AA154^4)+0.4581*(AA154^3)-0.8418*(AA154^2)+0.8536*AA154-0.0046)&gt;0.65,0.65,IF((0.0152*(AA154^5)-0.131*(AA154^4)+0.4581*(AA154^3)-0.8418*(AA154^2)+0.8536*AA154-0.0046)&lt;0,0,(0.0152*(AA154^5)-0.131*(AA154^4)+0.4581*(AA154^3)-0.8418*(AA154^2)+0.8536*AA154-0.0046))))</f>
        <v>7.3216480401841182E-3</v>
      </c>
      <c r="AR154" s="34">
        <f>U154*AQ154</f>
        <v>0.17812461077651487</v>
      </c>
      <c r="AS154" s="400">
        <f>IF(AK154=AF154,MAX(AP154,AR154),IF(AK154=AH154,AP154,AR154))</f>
        <v>0.17812461077651487</v>
      </c>
      <c r="AT154" s="1100"/>
      <c r="AU154" s="1104"/>
      <c r="AV154" s="138">
        <f>IF(ISNA(VLOOKUP(I154,'Efficiency Lookup'!$D$2:$G$35,4,FALSE)),0,VLOOKUP(I154,'Efficiency Lookup'!$D$2:$G$35,4,FALSE))</f>
        <v>0</v>
      </c>
      <c r="AW154" s="133">
        <f>$V154*AV154</f>
        <v>0</v>
      </c>
      <c r="AX154" s="135">
        <f>IF(X154="RR",IF((0.0326*(AA154^5)-0.2806*(AA154^4)+0.9816*(AA154^3)-1.8039*(AA154^2)+1.8292*AA154-0.0098)&gt;0.85,0.85,IF((0.0326*(AA154^5)-0.2806*(AA154^4)+0.9816*(AA154^3)-1.8039*(AA154^2)+1.8292*AA154-0.0098)&lt;0,0,(0.0326*(AA154^5)-0.2806*(AA154^4)+0.9816*(AA154^3)-1.8039*(AA154^2)+1.8292*AA154-0.0098))),IF((0.0304*(AA154^5)-0.2619*(AA154^4)+0.9161*(AA154^3)-1.6837*(AA154^2)+1.7072*AA154-0.0091)&gt;0.8,0.8,IF((0.0304*(AA154^5)-0.2619*(AA154^4)+0.9161*(AA154^3)-1.6837*(AA154^2)+1.7072*AA154-0.0091)&lt;0,0,(0.0304*(AA154^5)-0.2619*(AA154^4)+0.9161*(AA154^3)-1.6837*(AA154^2)+1.7072*AA154-0.0091))))</f>
        <v>1.4743275742380546E-2</v>
      </c>
      <c r="AY154" s="144">
        <f>$V154*AX154</f>
        <v>29.032514435219507</v>
      </c>
      <c r="AZ154" s="400">
        <f>IF(AS154=AP154,AW154,AY154)</f>
        <v>29.032514435219507</v>
      </c>
      <c r="BA154" s="1100"/>
      <c r="BB154" s="1104"/>
      <c r="BC154" s="1105"/>
      <c r="BD154" s="1106"/>
      <c r="BE154" s="1107"/>
      <c r="BF154" s="14"/>
      <c r="BG154" t="s">
        <v>287</v>
      </c>
    </row>
    <row r="155" spans="1:59" s="268" customFormat="1" ht="18.600000000000001" customHeight="1" x14ac:dyDescent="0.25">
      <c r="B155" s="271"/>
      <c r="C155" s="271"/>
      <c r="G155" s="277"/>
      <c r="H155" s="263"/>
      <c r="I155" s="263"/>
      <c r="Q155" s="264"/>
      <c r="S155" s="264"/>
      <c r="T155" s="264"/>
      <c r="U155" s="264"/>
      <c r="V155" s="264"/>
      <c r="W155" s="264"/>
      <c r="X155" s="266"/>
      <c r="Y155" s="265"/>
      <c r="Z155" s="265"/>
      <c r="AA155" s="266"/>
      <c r="AB155" s="747" t="s">
        <v>297</v>
      </c>
      <c r="AC155" s="322" t="str">
        <f t="shared" si="52"/>
        <v/>
      </c>
      <c r="AD155" s="274" t="str">
        <f t="shared" si="51"/>
        <v/>
      </c>
      <c r="AE155" s="279"/>
      <c r="AF155" s="266"/>
      <c r="AG155" s="274"/>
      <c r="AH155" s="274"/>
      <c r="AI155" s="274"/>
      <c r="AJ155" s="274"/>
      <c r="AK155" s="325" t="str">
        <f t="shared" si="53"/>
        <v/>
      </c>
      <c r="AO155" s="325"/>
      <c r="AP155" s="274"/>
      <c r="AQ155" s="274"/>
      <c r="AR155" s="274"/>
      <c r="AS155" s="326"/>
      <c r="AV155" s="325"/>
      <c r="AW155" s="274"/>
      <c r="AX155" s="274"/>
      <c r="AY155" s="275"/>
      <c r="AZ155" s="326"/>
      <c r="BB155" s="331"/>
      <c r="BE155" s="331"/>
    </row>
    <row r="156" spans="1:59" ht="18.600000000000001" customHeight="1" x14ac:dyDescent="0.25">
      <c r="A156" s="11" t="s">
        <v>440</v>
      </c>
      <c r="B156" s="11"/>
      <c r="C156" s="11"/>
      <c r="D156" s="1111" t="s">
        <v>271</v>
      </c>
      <c r="E156" s="1116"/>
      <c r="F156" s="1019"/>
      <c r="G156" s="1019"/>
      <c r="H156" s="1021"/>
      <c r="I156" s="1021"/>
      <c r="J156" s="1019"/>
      <c r="K156" s="11">
        <v>1.49</v>
      </c>
      <c r="L156" s="11"/>
      <c r="M156" s="11">
        <v>0</v>
      </c>
      <c r="N156" s="9">
        <v>0.84</v>
      </c>
      <c r="O156" s="7">
        <f>+M156/K156</f>
        <v>0</v>
      </c>
      <c r="P156" s="7">
        <f>+N156/K156</f>
        <v>0.56375838926174493</v>
      </c>
      <c r="Q156" s="8">
        <f>43*0.9*(0.05+0.9*0.16)*0.26*$K156*2.72/12</f>
        <v>0.65926492320000007</v>
      </c>
      <c r="R156" s="39">
        <f>43*0.9*(0.05+0.9*O156)*0.26*$K156*2.72/12</f>
        <v>0.16991364000000006</v>
      </c>
      <c r="S156" s="8">
        <f>IF(J156="R",R156,Q156)</f>
        <v>0.65926492320000007</v>
      </c>
      <c r="T156" s="8">
        <f>43*0.9*(0.05+0.9*P156)*0.26*$K156*2.72/12</f>
        <v>1.8941379600000003</v>
      </c>
      <c r="U156" s="8">
        <f>T156*5.2</f>
        <v>9.8495173920000028</v>
      </c>
      <c r="V156" s="8">
        <f>T156*420.9</f>
        <v>797.24266736400011</v>
      </c>
      <c r="W156" s="8">
        <f>IF(P156 &lt; 16%, 0, IF(K156 &lt; 1, 0, T156-S156))</f>
        <v>1.2348730368000003</v>
      </c>
      <c r="X156" s="8"/>
      <c r="Y156" s="257"/>
      <c r="Z156" s="257"/>
      <c r="AA156" s="8"/>
      <c r="AB156" s="744" t="s">
        <v>297</v>
      </c>
      <c r="AC156" s="134" t="str">
        <f t="shared" si="52"/>
        <v/>
      </c>
      <c r="AD156" s="133" t="str">
        <f t="shared" si="51"/>
        <v/>
      </c>
      <c r="AE156" s="667"/>
      <c r="AF156" s="34"/>
      <c r="AG156" s="133"/>
      <c r="AH156" s="133"/>
      <c r="AI156" s="39"/>
      <c r="AJ156" s="133"/>
      <c r="AK156" s="327" t="str">
        <f t="shared" si="53"/>
        <v/>
      </c>
      <c r="AO156" s="324"/>
      <c r="AP156" s="133"/>
      <c r="AQ156" s="39"/>
      <c r="AR156" s="39"/>
      <c r="AS156" s="306"/>
      <c r="AU156" s="28"/>
      <c r="AV156" s="324"/>
      <c r="AW156" s="133"/>
      <c r="AX156" s="39"/>
      <c r="AY156" s="136"/>
      <c r="AZ156" s="146"/>
      <c r="BA156" s="8"/>
      <c r="BB156" s="143"/>
      <c r="BE156" s="143"/>
      <c r="BF156" s="14"/>
      <c r="BG156" t="s">
        <v>273</v>
      </c>
    </row>
    <row r="157" spans="1:59" ht="18.600000000000001" customHeight="1" x14ac:dyDescent="0.25">
      <c r="A157" s="11"/>
      <c r="B157" s="11">
        <v>-78.495435000000001</v>
      </c>
      <c r="C157" s="11">
        <v>38.074275999999998</v>
      </c>
      <c r="D157" s="1015" t="s">
        <v>441</v>
      </c>
      <c r="E157" s="1048" t="s">
        <v>289</v>
      </c>
      <c r="F157" s="1021" t="s">
        <v>438</v>
      </c>
      <c r="G157" s="1021"/>
      <c r="H157" s="1021"/>
      <c r="I157" s="1021" t="s">
        <v>439</v>
      </c>
      <c r="J157" s="1015" t="s">
        <v>292</v>
      </c>
      <c r="K157" s="11">
        <v>1.1100000000000001</v>
      </c>
      <c r="L157" s="11"/>
      <c r="M157" s="11">
        <v>0</v>
      </c>
      <c r="N157" s="11">
        <v>0.82</v>
      </c>
      <c r="O157" s="7">
        <f>+M157/K157</f>
        <v>0</v>
      </c>
      <c r="P157" s="7">
        <f>+N157/K157</f>
        <v>0.73873873873873863</v>
      </c>
      <c r="Q157" s="8"/>
      <c r="R157" s="8"/>
      <c r="S157" s="8"/>
      <c r="T157" s="8">
        <f>IF(J156="TT",IF(F156="u/g detention",(43*0.9*(0.05+0.9*P157)*0.26*$K157*2.72/12)-AK155,(43*0.9*(0.05+0.9*P157)*0.26*$K157*2.72/12)-AK156),43*0.9*(0.05+0.9*P157)*0.26*$K157*2.72/12)</f>
        <v>1.8097513200000004</v>
      </c>
      <c r="U157" s="8">
        <f>T157*5.2</f>
        <v>9.4107068640000016</v>
      </c>
      <c r="V157" s="8">
        <f>T157*420.9</f>
        <v>761.72433058800016</v>
      </c>
      <c r="W157" s="8"/>
      <c r="X157" s="34" t="s">
        <v>278</v>
      </c>
      <c r="Y157" s="257" t="s">
        <v>295</v>
      </c>
      <c r="Z157" s="257" t="s">
        <v>295</v>
      </c>
      <c r="AA157" s="258">
        <f>IF(Y157="NA", 0, (Y157/43560)*12/Z157)</f>
        <v>0</v>
      </c>
      <c r="AB157" s="742" t="s">
        <v>296</v>
      </c>
      <c r="AC157" s="134" t="str">
        <f t="shared" si="52"/>
        <v>NA</v>
      </c>
      <c r="AD157" s="741">
        <f t="shared" si="51"/>
        <v>0</v>
      </c>
      <c r="AE157" s="134">
        <f>IF(ISNA(VLOOKUP(H157,'Efficiency Lookup'!$B$2:$C$38,2,FALSE)),0,(VLOOKUP(H157,'Efficiency Lookup'!$B$2:$C$38,2,FALSE)))</f>
        <v>0</v>
      </c>
      <c r="AF157" s="133">
        <f>T157*AE157</f>
        <v>0</v>
      </c>
      <c r="AG157" s="288">
        <f>IF(ISNA(VLOOKUP(I157,'Efficiency Lookup'!$D$2:$E$35,2,FALSE)),0,VLOOKUP(I157,'Efficiency Lookup'!$D$2:$E$35,2,FALSE))</f>
        <v>0.1</v>
      </c>
      <c r="AH157" s="313">
        <f>T157*AG157</f>
        <v>0.18097513200000004</v>
      </c>
      <c r="AI157" s="132">
        <f>IF(X157="RR",IF((0.0304*(AA157^5)-0.2619*(AA157^4)+0.9161*(AA157^3)-1.6837*(AA157^2)+1.7072*AA157-0.0091)&gt;0.85,0.85,IF((0.0304*(AA157^5)-0.2619*(AA157^4)+0.9161*(AA157^3)-1.6837*(AA157^2)+1.7072*AA157-0.0091)&lt;0,0,(0.0304*(AA157^5)-0.2619*(AA157^4)+0.9161*(AA157^3)-1.6837*(AA157^2)+1.7072*AA157-0.0091))),IF((0.0239*(AA157^5)-0.2058*(AA157^4)+0.7198*(AA157^3)-1.3229*(AA157^2)+1.3414*AA157-0.0072)&gt;0.65,0.65,IF((0.0239*(AA157^5)-0.2058*(AA157^4)+0.7198*(AA157^3)-1.3229*(AA157^2)+1.3414*AA157-0.0072)&lt;0,0,(0.0239*(AA157^5)-0.2058*(AA157^4)+0.7198*(AA157^3)-1.3229*(AA157^2)+1.3414*AA157-0.0072))))</f>
        <v>0</v>
      </c>
      <c r="AJ157" s="133">
        <f>T157*AI157</f>
        <v>0</v>
      </c>
      <c r="AK157" s="146">
        <f t="shared" si="53"/>
        <v>0.18097513200000004</v>
      </c>
      <c r="AL157" s="1100">
        <f>SUM(AK157:AK158)</f>
        <v>1.5654348918000003</v>
      </c>
      <c r="AM157" s="1100">
        <f>AL157-W156</f>
        <v>0.33056185500000002</v>
      </c>
      <c r="AN157" s="1112">
        <f>AM157/AL157</f>
        <v>0.21116295333107507</v>
      </c>
      <c r="AO157" s="147">
        <f>IF(ISNA(VLOOKUP(I157,'Efficiency Lookup'!$D$2:$G$35,3,FALSE)),0,VLOOKUP(I157,'Efficiency Lookup'!$D$2:$G$35,3,FALSE))</f>
        <v>0.05</v>
      </c>
      <c r="AP157" s="34">
        <f>U157*AO157</f>
        <v>0.47053534320000012</v>
      </c>
      <c r="AQ157" s="134">
        <f>IF(X157="RR",IF((0.0308*(AA157^5)-0.2562*(AA157^4)+0.8634*(AA157^3)-1.5285*(AA157^2)+1.501*AA157-0.013)&gt;0.7,0.7,IF((0.0308*(AA157^5)-0.2562*(AA157^4)+0.8634*(AA157^3)-1.5285*(AA157^2)+1.501*AA157-0.013)&lt;0,0,(0.0308*(AA157^5)-0.2562*(AA157^4)+0.8634*(AA157^3)-1.5285*(AA157^2)+1.501*AA157-0.013))),IF((0.0152*(AA157^5)-0.131*(AA157^4)+0.4581*(AA157^3)-0.8418*(AA157^2)+0.8536*AA157-0.0046)&gt;0.65,0.65,IF((0.0152*(AA157^5)-0.131*(AA157^4)+0.4581*(AA157^3)-0.8418*(AA157^2)+0.8536*AA157-0.0046)&lt;0,0,(0.0152*(AA157^5)-0.131*(AA157^4)+0.4581*(AA157^3)-0.8418*(AA157^2)+0.8536*AA157-0.0046))))</f>
        <v>0</v>
      </c>
      <c r="AR157" s="133">
        <f>U157*AQ157</f>
        <v>0</v>
      </c>
      <c r="AS157" s="400">
        <f>IF(AK157=AF157,MAX(AP157,AR157),IF(AK157=AH157,AP157,AR157))</f>
        <v>0.47053534320000012</v>
      </c>
      <c r="AT157" s="1100">
        <f>SUM(AS157:AS158)</f>
        <v>7.2462442852800013</v>
      </c>
      <c r="AU157" s="1104">
        <f>AT157*AN157</f>
        <v>1.5301383438381504</v>
      </c>
      <c r="AV157" s="147">
        <f>IF(ISNA(VLOOKUP(I157,'Efficiency Lookup'!$D$2:$G$35,4,FALSE)),0,VLOOKUP(I157,'Efficiency Lookup'!$D$2:$G$35,4,FALSE))</f>
        <v>0.1</v>
      </c>
      <c r="AW157" s="34">
        <f>$V157*AV157</f>
        <v>76.172433058800024</v>
      </c>
      <c r="AX157" s="134">
        <f>IF(X157="RR",IF((0.0326*(AA157^5)-0.2806*(AA157^4)+0.9816*(AA157^3)-1.8039*(AA157^2)+1.8292*AA157-0.0098)&gt;0.85,0.85,IF((0.0326*(AA157^5)-0.2806*(AA157^4)+0.9816*(AA157^3)-1.8039*(AA157^2)+1.8292*AA157-0.0098)&lt;0,0,(0.0326*(AA157^5)-0.2806*(AA157^4)+0.9816*(AA157^3)-1.8039*(AA157^2)+1.8292*AA157-0.0098))),IF((0.0304*(AA157^5)-0.2619*(AA157^4)+0.9161*(AA157^3)-1.6837*(AA157^2)+1.7072*AA157-0.0091)&gt;0.8,0.8,IF((0.0304*(AA157^5)-0.2619*(AA157^4)+0.9161*(AA157^3)-1.6837*(AA157^2)+1.7072*AA157-0.0091)&lt;0,0,(0.0304*(AA157^5)-0.2619*(AA157^4)+0.9161*(AA157^3)-1.6837*(AA157^2)+1.7072*AA157-0.0091))))</f>
        <v>0</v>
      </c>
      <c r="AY157" s="137">
        <f>$V157*AX157</f>
        <v>0</v>
      </c>
      <c r="AZ157" s="400">
        <f>IF(AS157=AP157,AW157,AY157)</f>
        <v>76.172433058800024</v>
      </c>
      <c r="BA157" s="1100">
        <f>SUM(AZ157:AZ158)</f>
        <v>727.4467357115401</v>
      </c>
      <c r="BB157" s="1104">
        <f>BA157*AN157</f>
        <v>153.60980110389883</v>
      </c>
      <c r="BC157" s="1105">
        <f>AM157</f>
        <v>0.33056185500000002</v>
      </c>
      <c r="BD157" s="1106">
        <f>AU157</f>
        <v>1.5301383438381504</v>
      </c>
      <c r="BE157" s="1107">
        <f>BB157</f>
        <v>153.60980110389883</v>
      </c>
      <c r="BF157" s="14"/>
    </row>
    <row r="158" spans="1:59" ht="18.600000000000001" customHeight="1" x14ac:dyDescent="0.25">
      <c r="A158" s="5"/>
      <c r="B158" s="11">
        <v>-78.495574000000005</v>
      </c>
      <c r="C158" s="11">
        <v>38.074280999999999</v>
      </c>
      <c r="D158" s="26">
        <v>396.01</v>
      </c>
      <c r="E158" s="1048" t="s">
        <v>373</v>
      </c>
      <c r="F158" s="1021" t="s">
        <v>442</v>
      </c>
      <c r="G158" s="1021"/>
      <c r="H158" s="1021" t="s">
        <v>443</v>
      </c>
      <c r="I158" s="1021" t="s">
        <v>444</v>
      </c>
      <c r="J158" s="1048"/>
      <c r="K158" s="11">
        <v>1.1100000000000001</v>
      </c>
      <c r="L158" s="11"/>
      <c r="M158" s="11">
        <v>0</v>
      </c>
      <c r="N158" s="11">
        <v>0.82</v>
      </c>
      <c r="O158" s="7">
        <f>+M158/K158</f>
        <v>0</v>
      </c>
      <c r="P158" s="7">
        <f>+N158/K158</f>
        <v>0.73873873873873863</v>
      </c>
      <c r="Q158" s="8"/>
      <c r="R158" s="8"/>
      <c r="S158" s="8"/>
      <c r="T158" s="8">
        <f>IF(J157="TT",IF(F157="u/g detention",(43*0.9*(0.05+0.9*P158)*0.26*$K158*2.72/12)-AK156,(43*0.9*(0.05+0.9*P158)*0.26*$K158*2.72/12)-AK157),43*0.9*(0.05+0.9*P158)*0.26*$K158*2.72/12)</f>
        <v>1.6287761880000002</v>
      </c>
      <c r="U158" s="8">
        <f>T158*5.2</f>
        <v>8.4696361776000018</v>
      </c>
      <c r="V158" s="8">
        <f>T158*420.9</f>
        <v>685.55189752920012</v>
      </c>
      <c r="W158" s="8"/>
      <c r="X158" s="34" t="s">
        <v>278</v>
      </c>
      <c r="Y158" s="257">
        <v>3810</v>
      </c>
      <c r="Z158" s="257">
        <v>0.82</v>
      </c>
      <c r="AA158" s="258">
        <f>IF(Y158="NA", 0, (Y158/43560)*12/Z158)</f>
        <v>1.2799838742189074</v>
      </c>
      <c r="AB158" s="742" t="s">
        <v>296</v>
      </c>
      <c r="AC158" s="134" t="str">
        <f t="shared" si="52"/>
        <v>NA</v>
      </c>
      <c r="AD158" s="741">
        <f t="shared" si="51"/>
        <v>0</v>
      </c>
      <c r="AE158" s="134">
        <f>IF(ISNA(VLOOKUP(H158,'Efficiency Lookup'!$B$2:$C$38,2,FALSE)),0,(VLOOKUP(H158,'Efficiency Lookup'!$B$2:$C$38,2,FALSE)))</f>
        <v>0.65</v>
      </c>
      <c r="AF158" s="133">
        <f>T158*AE158</f>
        <v>1.0587045222000002</v>
      </c>
      <c r="AG158" s="135">
        <f>IF(ISNA(VLOOKUP(I158,'Efficiency Lookup'!$D$2:$E$35,2,FALSE)),0,VLOOKUP(I158,'Efficiency Lookup'!$D$2:$E$35,2,FALSE))</f>
        <v>0.85</v>
      </c>
      <c r="AH158" s="34">
        <f>T158*AG158</f>
        <v>1.3844597598000001</v>
      </c>
      <c r="AI158" s="132">
        <f>IF(X158="RR",IF((0.0304*(AA158^5)-0.2619*(AA158^4)+0.9161*(AA158^3)-1.6837*(AA158^2)+1.7072*AA158-0.0091)&gt;0.85,0.85,IF((0.0304*(AA158^5)-0.2619*(AA158^4)+0.9161*(AA158^3)-1.6837*(AA158^2)+1.7072*AA158-0.0091)&lt;0,0,(0.0304*(AA158^5)-0.2619*(AA158^4)+0.9161*(AA158^3)-1.6837*(AA158^2)+1.7072*AA158-0.0091))),IF((0.0239*(AA158^5)-0.2058*(AA158^4)+0.7198*(AA158^3)-1.3229*(AA158^2)+1.3414*AA158-0.0072)&gt;0.65,0.65,IF((0.0239*(AA158^5)-0.2058*(AA158^4)+0.7198*(AA158^3)-1.3229*(AA158^2)+1.3414*AA158-0.0072)&lt;0,0,(0.0239*(AA158^5)-0.2058*(AA158^4)+0.7198*(AA158^3)-1.3229*(AA158^2)+1.3414*AA158-0.0072))))</f>
        <v>0.58156085060087548</v>
      </c>
      <c r="AJ158" s="133">
        <f>T158*AI158</f>
        <v>0.94723246533173155</v>
      </c>
      <c r="AK158" s="146">
        <f t="shared" si="53"/>
        <v>1.3844597598000001</v>
      </c>
      <c r="AL158" s="1100"/>
      <c r="AM158" s="1100"/>
      <c r="AN158" s="1112"/>
      <c r="AO158" s="147">
        <f>IF(ISNA(VLOOKUP(I158,'Efficiency Lookup'!$D$2:$G$35,3,FALSE)),0,VLOOKUP(I158,'Efficiency Lookup'!$D$2:$G$35,3,FALSE))</f>
        <v>0.8</v>
      </c>
      <c r="AP158" s="34">
        <f>U158*AO158</f>
        <v>6.7757089420800014</v>
      </c>
      <c r="AQ158" s="134">
        <f>IF(X158="RR",IF((0.0308*(AA158^5)-0.2562*(AA158^4)+0.8634*(AA158^3)-1.5285*(AA158^2)+1.501*AA158-0.013)&gt;0.7,0.7,IF((0.0308*(AA158^5)-0.2562*(AA158^4)+0.8634*(AA158^3)-1.5285*(AA158^2)+1.501*AA158-0.013)&lt;0,0,(0.0308*(AA158^5)-0.2562*(AA158^4)+0.8634*(AA158^3)-1.5285*(AA158^2)+1.501*AA158-0.013))),IF((0.0152*(AA158^5)-0.131*(AA158^4)+0.4581*(AA158^3)-0.8418*(AA158^2)+0.8536*AA158-0.0046)&gt;0.65,0.65,IF((0.0152*(AA158^5)-0.131*(AA158^4)+0.4581*(AA158^3)-0.8418*(AA158^2)+0.8536*AA158-0.0046)&lt;0,0,(0.0152*(AA158^5)-0.131*(AA158^4)+0.4581*(AA158^3)-0.8418*(AA158^2)+0.8536*AA158-0.0046))))</f>
        <v>0.37008367360943145</v>
      </c>
      <c r="AR158" s="133">
        <f>U158*AQ158</f>
        <v>3.1344740707415517</v>
      </c>
      <c r="AS158" s="400">
        <f>IF(AK158=AF158,MAX(AP158,AR158),IF(AK158=AH158,AP158,AR158))</f>
        <v>6.7757089420800014</v>
      </c>
      <c r="AT158" s="1100"/>
      <c r="AU158" s="1104"/>
      <c r="AV158" s="147">
        <f>IF(ISNA(VLOOKUP(I158,'Efficiency Lookup'!$D$2:$G$35,4,FALSE)),0,VLOOKUP(I158,'Efficiency Lookup'!$D$2:$G$35,4,FALSE))</f>
        <v>0.95</v>
      </c>
      <c r="AW158" s="34">
        <f>$V158*AV158</f>
        <v>651.27430265274006</v>
      </c>
      <c r="AX158" s="134">
        <f>IF(X158="RR",IF((0.0326*(AA158^5)-0.2806*(AA158^4)+0.9816*(AA158^3)-1.8039*(AA158^2)+1.8292*AA158-0.0098)&gt;0.85,0.85,IF((0.0326*(AA158^5)-0.2806*(AA158^4)+0.9816*(AA158^3)-1.8039*(AA158^2)+1.8292*AA158-0.0098)&lt;0,0,(0.0326*(AA158^5)-0.2806*(AA158^4)+0.9816*(AA158^3)-1.8039*(AA158^2)+1.8292*AA158-0.0098))),IF((0.0304*(AA158^5)-0.2619*(AA158^4)+0.9161*(AA158^3)-1.6837*(AA158^2)+1.7072*AA158-0.0091)&gt;0.8,0.8,IF((0.0304*(AA158^5)-0.2619*(AA158^4)+0.9161*(AA158^3)-1.6837*(AA158^2)+1.7072*AA158-0.0091)&lt;0,0,(0.0304*(AA158^5)-0.2619*(AA158^4)+0.9161*(AA158^3)-1.6837*(AA158^2)+1.7072*AA158-0.0091))))</f>
        <v>0.74016222600205117</v>
      </c>
      <c r="AY158" s="137">
        <f>$V158*AX158</f>
        <v>507.41961851514287</v>
      </c>
      <c r="AZ158" s="400">
        <f>IF(AS158=AP158,AW158,AY158)</f>
        <v>651.27430265274006</v>
      </c>
      <c r="BA158" s="1100"/>
      <c r="BB158" s="1104"/>
      <c r="BC158" s="1105"/>
      <c r="BD158" s="1106"/>
      <c r="BE158" s="1107"/>
      <c r="BF158" s="14"/>
    </row>
    <row r="159" spans="1:59" s="268" customFormat="1" ht="18.600000000000001" customHeight="1" x14ac:dyDescent="0.25">
      <c r="A159" s="269"/>
      <c r="B159" s="281"/>
      <c r="C159" s="281"/>
      <c r="D159" s="281"/>
      <c r="E159" s="262"/>
      <c r="F159" s="262"/>
      <c r="G159" s="262"/>
      <c r="H159" s="263"/>
      <c r="I159" s="263"/>
      <c r="J159" s="262"/>
      <c r="K159" s="271"/>
      <c r="L159" s="271"/>
      <c r="M159" s="271"/>
      <c r="N159" s="271"/>
      <c r="O159" s="273"/>
      <c r="P159" s="273"/>
      <c r="Q159" s="264"/>
      <c r="R159" s="264"/>
      <c r="S159" s="264"/>
      <c r="T159" s="264"/>
      <c r="U159" s="264"/>
      <c r="V159" s="264"/>
      <c r="W159" s="264"/>
      <c r="X159" s="264"/>
      <c r="Y159" s="265"/>
      <c r="Z159" s="265"/>
      <c r="AA159" s="264"/>
      <c r="AB159" s="743" t="s">
        <v>297</v>
      </c>
      <c r="AC159" s="322" t="str">
        <f t="shared" si="52"/>
        <v/>
      </c>
      <c r="AD159" s="274" t="str">
        <f t="shared" si="51"/>
        <v/>
      </c>
      <c r="AE159" s="274"/>
      <c r="AF159" s="266"/>
      <c r="AG159" s="274"/>
      <c r="AH159" s="266"/>
      <c r="AI159" s="274"/>
      <c r="AJ159" s="274"/>
      <c r="AK159" s="325" t="str">
        <f t="shared" si="53"/>
        <v/>
      </c>
      <c r="AO159" s="325"/>
      <c r="AP159" s="274"/>
      <c r="AQ159" s="274"/>
      <c r="AR159" s="274"/>
      <c r="AS159" s="326"/>
      <c r="AU159" s="267"/>
      <c r="AV159" s="325"/>
      <c r="AW159" s="274"/>
      <c r="AX159" s="274"/>
      <c r="AY159" s="275"/>
      <c r="AZ159" s="280"/>
      <c r="BA159" s="264"/>
      <c r="BB159" s="331"/>
      <c r="BE159" s="331"/>
      <c r="BF159" s="277"/>
    </row>
    <row r="160" spans="1:59" ht="18.600000000000001" customHeight="1" x14ac:dyDescent="0.25">
      <c r="A160" s="11" t="s">
        <v>445</v>
      </c>
      <c r="B160" s="11"/>
      <c r="C160" s="11"/>
      <c r="D160" s="1111" t="s">
        <v>271</v>
      </c>
      <c r="E160" s="1116"/>
      <c r="F160" s="1019"/>
      <c r="G160" s="1019"/>
      <c r="H160" s="1021"/>
      <c r="I160" s="1021"/>
      <c r="J160" s="1019"/>
      <c r="K160" s="11">
        <v>8.9</v>
      </c>
      <c r="L160" s="11"/>
      <c r="M160" s="11">
        <v>0</v>
      </c>
      <c r="N160" s="9">
        <v>3.64</v>
      </c>
      <c r="O160" s="7">
        <f>+M160/K160</f>
        <v>0</v>
      </c>
      <c r="P160" s="7">
        <f>+N160/K160</f>
        <v>0.40898876404494383</v>
      </c>
      <c r="Q160" s="8">
        <f>43*0.9*(0.05+0.9*0.16)*0.26*$K160*2.72/12</f>
        <v>3.9378911520000006</v>
      </c>
      <c r="R160" s="39">
        <f>43*0.9*(0.05+0.9*O160)*0.26*$K160*2.72/12</f>
        <v>1.0149204000000003</v>
      </c>
      <c r="S160" s="8">
        <f>IF(J160="R",R160,Q160)</f>
        <v>3.9378911520000006</v>
      </c>
      <c r="T160" s="8">
        <f>43*0.9*(0.05+0.9*P160)*0.26*$K160*2.72/12</f>
        <v>8.4865591200000008</v>
      </c>
      <c r="U160" s="8">
        <f>T160*5.2</f>
        <v>44.130107424000009</v>
      </c>
      <c r="V160" s="8">
        <f>T160*420.9</f>
        <v>3571.992733608</v>
      </c>
      <c r="W160" s="8">
        <f>IF(P160 &lt; 16%, 0, IF(K160 &lt; 1, 0, T160-S160))</f>
        <v>4.5486679680000002</v>
      </c>
      <c r="X160" s="8"/>
      <c r="Y160" s="257"/>
      <c r="Z160" s="257"/>
      <c r="AA160" s="8"/>
      <c r="AB160" s="744" t="s">
        <v>297</v>
      </c>
      <c r="AC160" s="134" t="str">
        <f t="shared" si="52"/>
        <v/>
      </c>
      <c r="AD160" s="133" t="str">
        <f t="shared" si="51"/>
        <v/>
      </c>
      <c r="AE160" s="133"/>
      <c r="AF160" s="34"/>
      <c r="AG160" s="39"/>
      <c r="AH160" s="34"/>
      <c r="AI160" s="39"/>
      <c r="AJ160" s="133"/>
      <c r="AK160" s="327" t="str">
        <f t="shared" si="53"/>
        <v/>
      </c>
      <c r="AO160" s="589"/>
      <c r="AP160" s="39"/>
      <c r="AQ160" s="39"/>
      <c r="AR160" s="39"/>
      <c r="AS160" s="306"/>
      <c r="AU160" s="28"/>
      <c r="AV160" s="589"/>
      <c r="AW160" s="39"/>
      <c r="AX160" s="39"/>
      <c r="AY160" s="136"/>
      <c r="AZ160" s="146"/>
      <c r="BA160" s="8"/>
      <c r="BB160" s="143"/>
      <c r="BE160" s="143"/>
      <c r="BF160" s="14" t="s">
        <v>421</v>
      </c>
      <c r="BG160" t="s">
        <v>446</v>
      </c>
    </row>
    <row r="161" spans="1:59" ht="18.600000000000001" customHeight="1" x14ac:dyDescent="0.25">
      <c r="A161" s="5"/>
      <c r="B161" s="11">
        <v>-78.519530000000003</v>
      </c>
      <c r="C161" s="11">
        <v>38.057445000000001</v>
      </c>
      <c r="D161" s="26" t="s">
        <v>447</v>
      </c>
      <c r="E161" s="1048" t="s">
        <v>281</v>
      </c>
      <c r="F161" s="1048" t="s">
        <v>342</v>
      </c>
      <c r="G161" s="1048"/>
      <c r="H161" s="1021" t="s">
        <v>343</v>
      </c>
      <c r="I161" s="1021" t="s">
        <v>284</v>
      </c>
      <c r="J161" s="1048"/>
      <c r="K161" s="11">
        <v>18.55</v>
      </c>
      <c r="L161" s="11"/>
      <c r="M161" s="11">
        <v>3.34</v>
      </c>
      <c r="N161" s="11">
        <v>4.7</v>
      </c>
      <c r="O161" s="7">
        <f>+M161/K161</f>
        <v>0.18005390835579513</v>
      </c>
      <c r="P161" s="7">
        <f>+N161/K161</f>
        <v>0.25336927223719674</v>
      </c>
      <c r="Q161" s="8"/>
      <c r="R161" s="8"/>
      <c r="S161" s="8"/>
      <c r="T161" s="8">
        <f>IF(J160="TT",IF(F160="u/g detention",(43*0.9*(0.05+0.9*P161)*0.26*$K161*2.72/12)-AK159,(43*0.9*(0.05+0.9*P161)*0.26*$K161*2.72/12)-AK160),43*0.9*(0.05+0.9*P161)*0.26*$K161*2.72/12)</f>
        <v>11.762813400000001</v>
      </c>
      <c r="U161" s="8">
        <f>T161*5.2</f>
        <v>61.166629680000007</v>
      </c>
      <c r="V161" s="8">
        <f>T161*420.9</f>
        <v>4950.9681600599997</v>
      </c>
      <c r="W161" s="8"/>
      <c r="X161" s="34" t="s">
        <v>285</v>
      </c>
      <c r="Y161" s="257">
        <v>352</v>
      </c>
      <c r="Z161" s="257">
        <v>4.7</v>
      </c>
      <c r="AA161" s="258">
        <f>IF(Y161="NA", 0, (Y161/43560)*12/Z161)</f>
        <v>2.0631850419084462E-2</v>
      </c>
      <c r="AB161" s="742" t="s">
        <v>311</v>
      </c>
      <c r="AC161" s="134" t="str">
        <f t="shared" si="52"/>
        <v>NA</v>
      </c>
      <c r="AD161" s="741">
        <f t="shared" si="51"/>
        <v>0</v>
      </c>
      <c r="AE161" s="288">
        <f>IF(ISNA(VLOOKUP(H161,'Efficiency Lookup'!$B$2:$C$38,2,FALSE)),0,(VLOOKUP(H161,'Efficiency Lookup'!$B$2:$C$38,2,FALSE)))</f>
        <v>0.5</v>
      </c>
      <c r="AF161" s="313">
        <f>T161*AE161</f>
        <v>5.8814067000000003</v>
      </c>
      <c r="AG161" s="134">
        <f>IF(ISNA(VLOOKUP(I161,'Efficiency Lookup'!$D$2:$E$35,2,FALSE)),0,VLOOKUP(I161,'Efficiency Lookup'!$D$2:$E$35,2,FALSE))</f>
        <v>0.45</v>
      </c>
      <c r="AH161" s="133">
        <f>T161*AG161</f>
        <v>5.2932660300000007</v>
      </c>
      <c r="AI161" s="132">
        <f>IF(X161="RR",IF((0.0304*(AA161^5)-0.2619*(AA161^4)+0.9161*(AA161^3)-1.6837*(AA161^2)+1.7072*AA161-0.0091)&gt;0.85,0.85,IF((0.0304*(AA161^5)-0.2619*(AA161^4)+0.9161*(AA161^3)-1.6837*(AA161^2)+1.7072*AA161-0.0091)&lt;0,0,(0.0304*(AA161^5)-0.2619*(AA161^4)+0.9161*(AA161^3)-1.6837*(AA161^2)+1.7072*AA161-0.0091))),IF((0.0239*(AA161^5)-0.2058*(AA161^4)+0.7198*(AA161^3)-1.3229*(AA161^2)+1.3414*AA161-0.0072)&gt;0.65,0.65,IF((0.0239*(AA161^5)-0.2058*(AA161^4)+0.7198*(AA161^3)-1.3229*(AA161^2)+1.3414*AA161-0.0072)&lt;0,0,(0.0239*(AA161^5)-0.2058*(AA161^4)+0.7198*(AA161^3)-1.3229*(AA161^2)+1.3414*AA161-0.0072))))</f>
        <v>2.541398722075772E-2</v>
      </c>
      <c r="AJ161" s="133">
        <f>T161*AI161</f>
        <v>0.29893998942775768</v>
      </c>
      <c r="AK161" s="146">
        <f t="shared" si="53"/>
        <v>5.8814067000000003</v>
      </c>
      <c r="AL161" s="1100">
        <f>SUM(AK161:AK162)</f>
        <v>8.0803058700000019</v>
      </c>
      <c r="AM161" s="1100">
        <f>AL161-W160</f>
        <v>3.5316379020000017</v>
      </c>
      <c r="AN161" s="1112">
        <f>AM161/AL161</f>
        <v>0.43706735349116194</v>
      </c>
      <c r="AO161" s="147">
        <f>IF(ISNA(VLOOKUP(I161,'Efficiency Lookup'!$D$2:$G$35,3,FALSE)),0,VLOOKUP(I161,'Efficiency Lookup'!$D$2:$G$35,3,FALSE))</f>
        <v>0.25</v>
      </c>
      <c r="AP161" s="34">
        <f>U161*AO161</f>
        <v>15.291657420000002</v>
      </c>
      <c r="AQ161" s="134">
        <f>IF(X161="RR",IF((0.0308*(AA161^5)-0.2562*(AA161^4)+0.8634*(AA161^3)-1.5285*(AA161^2)+1.501*AA161-0.013)&gt;0.7,0.7,IF((0.0308*(AA161^5)-0.2562*(AA161^4)+0.8634*(AA161^3)-1.5285*(AA161^2)+1.501*AA161-0.013)&lt;0,0,(0.0308*(AA161^5)-0.2562*(AA161^4)+0.8634*(AA161^3)-1.5285*(AA161^2)+1.501*AA161-0.013))),IF((0.0152*(AA161^5)-0.131*(AA161^4)+0.4581*(AA161^3)-0.8418*(AA161^2)+0.8536*AA161-0.0046)&gt;0.65,0.65,IF((0.0152*(AA161^5)-0.131*(AA161^4)+0.4581*(AA161^3)-0.8418*(AA161^2)+0.8536*AA161-0.0046)&lt;0,0,(0.0152*(AA161^5)-0.131*(AA161^4)+0.4581*(AA161^3)-0.8418*(AA161^2)+0.8536*AA161-0.0046))))</f>
        <v>1.7325302353435761E-2</v>
      </c>
      <c r="AR161" s="133">
        <f>U161*AQ161</f>
        <v>1.0597303531466378</v>
      </c>
      <c r="AS161" s="400">
        <f>IF(AK161=AF161,MAX(AP161,AR161),IF(AK161=AH161,AP161,AR161))</f>
        <v>15.291657420000002</v>
      </c>
      <c r="AT161" s="1100">
        <f>SUM(AS161:AS162)</f>
        <v>25.963648058400008</v>
      </c>
      <c r="AU161" s="1104">
        <f>AT161*AN161</f>
        <v>11.347862943860836</v>
      </c>
      <c r="AV161" s="147">
        <f>IF(ISNA(VLOOKUP(I161,'Efficiency Lookup'!$D$2:$G$35,4,FALSE)),0,VLOOKUP(I161,'Efficiency Lookup'!$D$2:$G$35,4,FALSE))</f>
        <v>0.55000000000000004</v>
      </c>
      <c r="AW161" s="34">
        <f>$V161*AV161</f>
        <v>2723.0324880329999</v>
      </c>
      <c r="AX161" s="134">
        <f>IF(X161="RR",IF((0.0326*(AA161^5)-0.2806*(AA161^4)+0.9816*(AA161^3)-1.8039*(AA161^2)+1.8292*AA161-0.0098)&gt;0.85,0.85,IF((0.0326*(AA161^5)-0.2806*(AA161^4)+0.9816*(AA161^3)-1.8039*(AA161^2)+1.8292*AA161-0.0098)&lt;0,0,(0.0326*(AA161^5)-0.2806*(AA161^4)+0.9816*(AA161^3)-1.8039*(AA161^2)+1.8292*AA161-0.0098))),IF((0.0304*(AA161^5)-0.2619*(AA161^4)+0.9161*(AA161^3)-1.6837*(AA161^2)+1.7072*AA161-0.0091)&gt;0.8,0.8,IF((0.0304*(AA161^5)-0.2619*(AA161^4)+0.9161*(AA161^3)-1.6837*(AA161^2)+1.7072*AA161-0.0091)&lt;0,0,(0.0304*(AA161^5)-0.2619*(AA161^4)+0.9161*(AA161^3)-1.6837*(AA161^2)+1.7072*AA161-0.0091))))</f>
        <v>2.7180478915816212E-2</v>
      </c>
      <c r="AY161" s="137">
        <f>$V161*AX161</f>
        <v>134.56968568738822</v>
      </c>
      <c r="AZ161" s="400">
        <f>IF(AS161=AP161,AW161,AY161)</f>
        <v>2723.0324880329999</v>
      </c>
      <c r="BA161" s="1100">
        <f>SUM(AZ161:AZ162)</f>
        <v>3710.2502593962004</v>
      </c>
      <c r="BB161" s="1104">
        <f>BA161*AN161</f>
        <v>1621.6292616641945</v>
      </c>
      <c r="BC161" s="1105">
        <f>AM161</f>
        <v>3.5316379020000017</v>
      </c>
      <c r="BD161" s="1106">
        <f>AU161</f>
        <v>11.347862943860836</v>
      </c>
      <c r="BE161" s="1107">
        <f>BB161</f>
        <v>1621.6292616641945</v>
      </c>
      <c r="BF161" s="14"/>
      <c r="BG161" t="s">
        <v>287</v>
      </c>
    </row>
    <row r="162" spans="1:59" ht="18.600000000000001" customHeight="1" x14ac:dyDescent="0.25">
      <c r="A162" s="5"/>
      <c r="B162" s="11">
        <v>-78.519896000000003</v>
      </c>
      <c r="C162" s="11">
        <v>38.054690999999998</v>
      </c>
      <c r="D162" s="26">
        <v>226.02</v>
      </c>
      <c r="E162" s="1048" t="s">
        <v>281</v>
      </c>
      <c r="F162" s="1048" t="s">
        <v>342</v>
      </c>
      <c r="G162" s="1048"/>
      <c r="H162" s="1021" t="s">
        <v>343</v>
      </c>
      <c r="I162" s="1021" t="s">
        <v>315</v>
      </c>
      <c r="J162" s="1048"/>
      <c r="K162" s="11">
        <v>2.31</v>
      </c>
      <c r="L162" s="11"/>
      <c r="M162" s="11">
        <v>0</v>
      </c>
      <c r="N162" s="11">
        <v>1.3</v>
      </c>
      <c r="O162" s="7">
        <f>+M162/K162</f>
        <v>0</v>
      </c>
      <c r="P162" s="7">
        <f>+N162/K162</f>
        <v>0.56277056277056281</v>
      </c>
      <c r="Q162" s="8"/>
      <c r="R162" s="8"/>
      <c r="S162" s="8"/>
      <c r="T162" s="8">
        <f>IF(J161="TT",IF(F161="u/g detention",(43*0.9*(0.05+0.9*P162)*0.26*$K162*2.72/12)-AK160,(43*0.9*(0.05+0.9*P162)*0.26*$K162*2.72/12)-AK161),43*0.9*(0.05+0.9*P162)*0.26*$K162*2.72/12)</f>
        <v>2.9318655600000016</v>
      </c>
      <c r="U162" s="8">
        <f>T162*5.2</f>
        <v>15.245700912000009</v>
      </c>
      <c r="V162" s="8">
        <f>T162*420.9</f>
        <v>1234.0222142040006</v>
      </c>
      <c r="W162" s="8"/>
      <c r="X162" s="34" t="s">
        <v>285</v>
      </c>
      <c r="Y162" s="257">
        <v>922.58</v>
      </c>
      <c r="Z162" s="257">
        <v>1.3</v>
      </c>
      <c r="AA162" s="258">
        <f>IF(Y162="NA", 0, (Y162/43560)*12/Z162)</f>
        <v>0.19550328459419372</v>
      </c>
      <c r="AB162" s="742" t="s">
        <v>296</v>
      </c>
      <c r="AC162" s="134" t="str">
        <f t="shared" si="52"/>
        <v>NA</v>
      </c>
      <c r="AD162" s="741">
        <f t="shared" si="51"/>
        <v>0</v>
      </c>
      <c r="AE162" s="134">
        <f>IF(ISNA(VLOOKUP(H162,'Efficiency Lookup'!$B$2:$C$38,2,FALSE)),0,(VLOOKUP(H162,'Efficiency Lookup'!$B$2:$C$38,2,FALSE)))</f>
        <v>0.5</v>
      </c>
      <c r="AF162" s="133">
        <f>T162*AE162</f>
        <v>1.4659327800000008</v>
      </c>
      <c r="AG162" s="135">
        <f>IF(ISNA(VLOOKUP(I162,'Efficiency Lookup'!$D$2:$E$35,2,FALSE)),0,VLOOKUP(I162,'Efficiency Lookup'!$D$2:$E$35,2,FALSE))</f>
        <v>0.75</v>
      </c>
      <c r="AH162" s="34">
        <f>T162*AG162</f>
        <v>2.1988991700000011</v>
      </c>
      <c r="AI162" s="132">
        <f>IF(X162="RR",IF((0.0304*(AA162^5)-0.2619*(AA162^4)+0.9161*(AA162^3)-1.6837*(AA162^2)+1.7072*AA162-0.0091)&gt;0.85,0.85,IF((0.0304*(AA162^5)-0.2619*(AA162^4)+0.9161*(AA162^3)-1.6837*(AA162^2)+1.7072*AA162-0.0091)&lt;0,0,(0.0304*(AA162^5)-0.2619*(AA162^4)+0.9161*(AA162^3)-1.6837*(AA162^2)+1.7072*AA162-0.0091))),IF((0.0239*(AA162^5)-0.2058*(AA162^4)+0.7198*(AA162^3)-1.3229*(AA162^2)+1.3414*AA162-0.0072)&gt;0.65,0.65,IF((0.0239*(AA162^5)-0.2058*(AA162^4)+0.7198*(AA162^3)-1.3229*(AA162^2)+1.3414*AA162-0.0072)&lt;0,0,(0.0239*(AA162^5)-0.2058*(AA162^4)+0.7198*(AA162^3)-1.3229*(AA162^2)+1.3414*AA162-0.0072))))</f>
        <v>0.26678118485850533</v>
      </c>
      <c r="AJ162" s="133">
        <f>T162*AI162</f>
        <v>0.78216656794264572</v>
      </c>
      <c r="AK162" s="146">
        <f t="shared" si="53"/>
        <v>2.1988991700000011</v>
      </c>
      <c r="AL162" s="1100"/>
      <c r="AM162" s="1100"/>
      <c r="AN162" s="1112"/>
      <c r="AO162" s="147">
        <f>IF(ISNA(VLOOKUP(I162,'Efficiency Lookup'!$D$2:$G$35,3,FALSE)),0,VLOOKUP(I162,'Efficiency Lookup'!$D$2:$G$35,3,FALSE))</f>
        <v>0.7</v>
      </c>
      <c r="AP162" s="34">
        <f>U162*AO162</f>
        <v>10.671990638400006</v>
      </c>
      <c r="AQ162" s="134">
        <f>IF(X162="RR",IF((0.0308*(AA162^5)-0.2562*(AA162^4)+0.8634*(AA162^3)-1.5285*(AA162^2)+1.501*AA162-0.013)&gt;0.7,0.7,IF((0.0308*(AA162^5)-0.2562*(AA162^4)+0.8634*(AA162^3)-1.5285*(AA162^2)+1.501*AA162-0.013)&lt;0,0,(0.0308*(AA162^5)-0.2562*(AA162^4)+0.8634*(AA162^3)-1.5285*(AA162^2)+1.501*AA162-0.013))),IF((0.0152*(AA162^5)-0.131*(AA162^4)+0.4581*(AA162^3)-0.8418*(AA162^2)+0.8536*AA162-0.0046)&gt;0.65,0.65,IF((0.0152*(AA162^5)-0.131*(AA162^4)+0.4581*(AA162^3)-0.8418*(AA162^2)+0.8536*AA162-0.0046)&lt;0,0,(0.0152*(AA162^5)-0.131*(AA162^4)+0.4581*(AA162^3)-0.8418*(AA162^2)+0.8536*AA162-0.0046))))</f>
        <v>0.22811503363751215</v>
      </c>
      <c r="AR162" s="133">
        <f>U162*AQ162</f>
        <v>3.4777735763683317</v>
      </c>
      <c r="AS162" s="400">
        <f>IF(AK162=AF162,MAX(AP162,AR162),IF(AK162=AH162,AP162,AR162))</f>
        <v>10.671990638400006</v>
      </c>
      <c r="AT162" s="1100"/>
      <c r="AU162" s="1104"/>
      <c r="AV162" s="147">
        <f>IF(ISNA(VLOOKUP(I162,'Efficiency Lookup'!$D$2:$G$35,4,FALSE)),0,VLOOKUP(I162,'Efficiency Lookup'!$D$2:$G$35,4,FALSE))</f>
        <v>0.8</v>
      </c>
      <c r="AW162" s="34">
        <f>$V162*AV162</f>
        <v>987.21777136320054</v>
      </c>
      <c r="AX162" s="134">
        <f>IF(X162="RR",IF((0.0326*(AA162^5)-0.2806*(AA162^4)+0.9816*(AA162^3)-1.8039*(AA162^2)+1.8292*AA162-0.0098)&gt;0.85,0.85,IF((0.0326*(AA162^5)-0.2806*(AA162^4)+0.9816*(AA162^3)-1.8039*(AA162^2)+1.8292*AA162-0.0098)&lt;0,0,(0.0326*(AA162^5)-0.2806*(AA162^4)+0.9816*(AA162^3)-1.8039*(AA162^2)+1.8292*AA162-0.0098))),IF((0.0304*(AA162^5)-0.2619*(AA162^4)+0.9161*(AA162^3)-1.6837*(AA162^2)+1.7072*AA162-0.0091)&gt;0.8,0.8,IF((0.0304*(AA162^5)-0.2619*(AA162^4)+0.9161*(AA162^3)-1.6837*(AA162^2)+1.7072*AA162-0.0091)&lt;0,0,(0.0304*(AA162^5)-0.2619*(AA162^4)+0.9161*(AA162^3)-1.6837*(AA162^2)+1.7072*AA162-0.0091))))</f>
        <v>0.28580111145784343</v>
      </c>
      <c r="AY162" s="137">
        <f>$V162*AX162</f>
        <v>352.68492038317231</v>
      </c>
      <c r="AZ162" s="400">
        <f>IF(AS162=AP162,AW162,AY162)</f>
        <v>987.21777136320054</v>
      </c>
      <c r="BA162" s="1100"/>
      <c r="BB162" s="1104"/>
      <c r="BC162" s="1105"/>
      <c r="BD162" s="1106"/>
      <c r="BE162" s="1107"/>
      <c r="BF162" s="14"/>
      <c r="BG162" t="s">
        <v>287</v>
      </c>
    </row>
    <row r="163" spans="1:59" s="268" customFormat="1" ht="18.600000000000001" customHeight="1" x14ac:dyDescent="0.25">
      <c r="A163" s="269"/>
      <c r="B163" s="281"/>
      <c r="C163" s="281"/>
      <c r="D163" s="281"/>
      <c r="E163" s="262"/>
      <c r="F163" s="262"/>
      <c r="G163" s="262"/>
      <c r="H163" s="263"/>
      <c r="I163" s="263"/>
      <c r="J163" s="262"/>
      <c r="K163" s="271"/>
      <c r="L163" s="271"/>
      <c r="M163" s="271"/>
      <c r="N163" s="271"/>
      <c r="O163" s="273"/>
      <c r="P163" s="273"/>
      <c r="Q163" s="264"/>
      <c r="R163" s="264"/>
      <c r="S163" s="264"/>
      <c r="T163" s="264"/>
      <c r="U163" s="264"/>
      <c r="V163" s="264"/>
      <c r="W163" s="264"/>
      <c r="X163" s="264"/>
      <c r="Y163" s="265"/>
      <c r="Z163" s="265"/>
      <c r="AA163" s="264"/>
      <c r="AB163" s="743" t="s">
        <v>297</v>
      </c>
      <c r="AC163" s="751" t="str">
        <f t="shared" si="52"/>
        <v/>
      </c>
      <c r="AD163" s="303" t="str">
        <f t="shared" si="51"/>
        <v/>
      </c>
      <c r="AE163" s="274"/>
      <c r="AF163" s="266"/>
      <c r="AG163" s="303"/>
      <c r="AH163" s="274"/>
      <c r="AI163" s="303"/>
      <c r="AJ163" s="274"/>
      <c r="AK163" s="325" t="str">
        <f t="shared" si="53"/>
        <v/>
      </c>
      <c r="AO163" s="329"/>
      <c r="AP163" s="274"/>
      <c r="AQ163" s="303"/>
      <c r="AR163" s="274"/>
      <c r="AS163" s="587"/>
      <c r="AT163" s="410"/>
      <c r="AU163" s="408"/>
      <c r="AV163" s="329"/>
      <c r="AW163" s="303"/>
      <c r="AX163" s="303"/>
      <c r="AY163" s="285"/>
      <c r="AZ163" s="280"/>
      <c r="BA163" s="264"/>
      <c r="BB163" s="331"/>
      <c r="BE163" s="331"/>
      <c r="BF163" s="277"/>
    </row>
    <row r="164" spans="1:59" s="393" customFormat="1" ht="18.600000000000001" customHeight="1" x14ac:dyDescent="0.25">
      <c r="A164" s="384" t="s">
        <v>448</v>
      </c>
      <c r="B164" s="384"/>
      <c r="C164" s="384"/>
      <c r="D164" s="1108"/>
      <c r="E164" s="1109"/>
      <c r="F164" s="1013"/>
      <c r="G164" s="1013"/>
      <c r="H164" s="385"/>
      <c r="I164" s="385"/>
      <c r="J164" s="1012"/>
      <c r="K164" s="384">
        <v>37.299999999999997</v>
      </c>
      <c r="L164" s="384"/>
      <c r="M164" s="384">
        <v>0.5</v>
      </c>
      <c r="N164" s="386">
        <v>31.7</v>
      </c>
      <c r="O164" s="387">
        <f>+M164/K164</f>
        <v>1.3404825737265416E-2</v>
      </c>
      <c r="P164" s="387">
        <f>+N164/K164</f>
        <v>0.84986595174262736</v>
      </c>
      <c r="Q164" s="388">
        <f>43*0.9*(0.05+0.9*0.16)*0.26*$K164*2.72/12</f>
        <v>16.503746064000001</v>
      </c>
      <c r="R164" s="389">
        <f>43*0.9*(0.05+0.9*O164)*0.26*$K164*2.72/12</f>
        <v>5.2798668000000015</v>
      </c>
      <c r="S164" s="388">
        <f>IF(J164="R",R164,Q164)</f>
        <v>16.503746064000001</v>
      </c>
      <c r="T164" s="388">
        <f>43*0.9*(0.05+0.9*P164)*0.26*$K164*2.72/12</f>
        <v>69.322484400000022</v>
      </c>
      <c r="U164" s="388">
        <f>T164*5.2</f>
        <v>360.47691888000014</v>
      </c>
      <c r="V164" s="388">
        <f>T164*420.9</f>
        <v>29177.833683960009</v>
      </c>
      <c r="W164" s="388">
        <f>IF(P164 &lt; 16%, 0, IF(K164 &lt; 1, 0, T164-S164))</f>
        <v>52.818738336000024</v>
      </c>
      <c r="X164" s="388"/>
      <c r="Y164" s="390"/>
      <c r="Z164" s="390"/>
      <c r="AA164" s="388"/>
      <c r="AB164" s="748" t="s">
        <v>297</v>
      </c>
      <c r="AC164" s="755" t="str">
        <f t="shared" si="52"/>
        <v/>
      </c>
      <c r="AD164" s="389" t="str">
        <f t="shared" si="51"/>
        <v/>
      </c>
      <c r="AE164" s="593"/>
      <c r="AF164" s="392"/>
      <c r="AG164" s="389"/>
      <c r="AH164" s="593"/>
      <c r="AI164" s="389"/>
      <c r="AJ164" s="593"/>
      <c r="AK164" s="588" t="str">
        <f t="shared" si="53"/>
        <v/>
      </c>
      <c r="AO164" s="588"/>
      <c r="AP164" s="389"/>
      <c r="AQ164" s="389"/>
      <c r="AR164" s="389"/>
      <c r="AS164" s="596"/>
      <c r="AU164" s="394"/>
      <c r="AV164" s="588"/>
      <c r="AW164" s="389"/>
      <c r="AX164" s="389"/>
      <c r="AY164" s="395"/>
      <c r="AZ164" s="391"/>
      <c r="BA164" s="388"/>
      <c r="BB164" s="396"/>
      <c r="BE164" s="396"/>
      <c r="BG164" s="393" t="s">
        <v>300</v>
      </c>
    </row>
    <row r="165" spans="1:59" s="349" customFormat="1" ht="18.600000000000001" customHeight="1" x14ac:dyDescent="0.25">
      <c r="A165" s="340" t="s">
        <v>449</v>
      </c>
      <c r="B165" s="340"/>
      <c r="C165" s="340"/>
      <c r="D165" s="1110"/>
      <c r="E165" s="1160"/>
      <c r="F165" s="1038"/>
      <c r="G165" s="1038"/>
      <c r="H165" s="341"/>
      <c r="I165" s="341"/>
      <c r="J165" s="1014"/>
      <c r="K165" s="340">
        <v>27.64</v>
      </c>
      <c r="L165" s="340"/>
      <c r="M165" s="340">
        <v>0</v>
      </c>
      <c r="N165" s="342">
        <v>15.27</v>
      </c>
      <c r="O165" s="343">
        <f>+M165/K165</f>
        <v>0</v>
      </c>
      <c r="P165" s="343">
        <f>+N165/K165</f>
        <v>0.55246020260492035</v>
      </c>
      <c r="Q165" s="344">
        <f>43*0.9*(0.05+0.9*0.16)*0.26*$K165*2.72/12</f>
        <v>12.229585555200003</v>
      </c>
      <c r="R165" s="366">
        <f>43*0.9*(0.05+0.9*O165)*0.26*$K165*2.72/12</f>
        <v>3.1519550400000007</v>
      </c>
      <c r="S165" s="344">
        <f>IF(J165="R",R165,Q165)</f>
        <v>12.229585555200003</v>
      </c>
      <c r="T165" s="344">
        <f>43*0.9*(0.05+0.9*P165)*0.26*$K165*2.72/12</f>
        <v>34.495890000000003</v>
      </c>
      <c r="U165" s="344">
        <f>T165*5.2</f>
        <v>179.37862800000002</v>
      </c>
      <c r="V165" s="344">
        <f>T165*420.9</f>
        <v>14519.320101000001</v>
      </c>
      <c r="W165" s="344">
        <f>IF(P165 &lt; 16%, 0, IF(K165 &lt; 1, 0, T165-S165))</f>
        <v>22.266304444799999</v>
      </c>
      <c r="X165" s="344"/>
      <c r="Y165" s="345"/>
      <c r="Z165" s="345"/>
      <c r="AA165" s="344"/>
      <c r="AB165" s="746" t="s">
        <v>297</v>
      </c>
      <c r="AC165" s="752" t="str">
        <f t="shared" si="52"/>
        <v/>
      </c>
      <c r="AD165" s="366" t="str">
        <f t="shared" si="51"/>
        <v/>
      </c>
      <c r="AE165" s="347"/>
      <c r="AF165" s="348"/>
      <c r="AG165" s="366"/>
      <c r="AH165" s="347"/>
      <c r="AI165" s="366"/>
      <c r="AJ165" s="347"/>
      <c r="AK165" s="600" t="str">
        <f t="shared" si="53"/>
        <v/>
      </c>
      <c r="AO165" s="600"/>
      <c r="AP165" s="366"/>
      <c r="AQ165" s="366"/>
      <c r="AR165" s="366"/>
      <c r="AS165" s="1049"/>
      <c r="AU165" s="365"/>
      <c r="AV165" s="600"/>
      <c r="AW165" s="366"/>
      <c r="AX165" s="366"/>
      <c r="AY165" s="603"/>
      <c r="AZ165" s="363"/>
      <c r="BA165" s="344"/>
      <c r="BB165" s="352"/>
      <c r="BE165" s="352"/>
      <c r="BF165" s="656"/>
      <c r="BG165" s="349" t="s">
        <v>450</v>
      </c>
    </row>
    <row r="166" spans="1:59" ht="18.600000000000001" customHeight="1" x14ac:dyDescent="0.25">
      <c r="A166" s="11" t="s">
        <v>451</v>
      </c>
      <c r="B166" s="11"/>
      <c r="C166" s="11"/>
      <c r="D166" s="1111" t="s">
        <v>271</v>
      </c>
      <c r="E166" s="1116"/>
      <c r="F166" s="1019"/>
      <c r="G166" s="1019"/>
      <c r="H166" s="1021"/>
      <c r="I166" s="1021"/>
      <c r="J166" s="1015"/>
      <c r="K166" s="11">
        <v>64.94</v>
      </c>
      <c r="L166" s="11"/>
      <c r="M166" s="11">
        <v>0.5</v>
      </c>
      <c r="N166" s="9">
        <v>46.97</v>
      </c>
      <c r="O166" s="25">
        <f>+M166/K166</f>
        <v>7.6994148444718205E-3</v>
      </c>
      <c r="P166" s="25">
        <f>+N166/K166</f>
        <v>0.72328303048968279</v>
      </c>
      <c r="Q166" s="8">
        <f>43*0.9*(0.05+0.9*0.16)*0.26*$K166*2.72/12</f>
        <v>28.733331619200005</v>
      </c>
      <c r="R166" s="39">
        <f>43*0.9*(0.05+0.9*O166)*0.26*$K166*2.72/12</f>
        <v>8.4318218400000013</v>
      </c>
      <c r="S166" s="8">
        <f>IF(J166="R",R166,Q166)</f>
        <v>28.733331619200005</v>
      </c>
      <c r="T166" s="8">
        <f>IF(J165="TT",IF(F165="u/g detention",(43*0.9*(0.05+0.9*P166)*0.26*$K166*2.72/12)-AK164,(43*0.9*(0.05+0.9*P166)*0.26*$K166*2.72/12)-AK165),43*0.9*(0.05+0.9*P166)*0.26*$K166*2.72/12)</f>
        <v>103.8183744</v>
      </c>
      <c r="U166" s="8">
        <f>T166*5.2</f>
        <v>539.85554688000002</v>
      </c>
      <c r="V166" s="8">
        <f>T166*420.9</f>
        <v>43697.153784959999</v>
      </c>
      <c r="W166" s="8">
        <f>IF(P166 &lt; 16%, 0, IF(K166 &lt; 1, 0, T166-S166))</f>
        <v>75.085042780799995</v>
      </c>
      <c r="X166" s="8"/>
      <c r="Y166" s="257"/>
      <c r="Z166" s="257"/>
      <c r="AA166" s="8"/>
      <c r="AB166" s="744" t="s">
        <v>297</v>
      </c>
      <c r="AC166" s="750" t="str">
        <f t="shared" si="52"/>
        <v/>
      </c>
      <c r="AD166" s="39" t="str">
        <f t="shared" si="51"/>
        <v/>
      </c>
      <c r="AE166" s="133"/>
      <c r="AF166" s="34"/>
      <c r="AG166" s="39"/>
      <c r="AH166" s="133"/>
      <c r="AI166" s="39"/>
      <c r="AJ166" s="133"/>
      <c r="AK166" s="589" t="str">
        <f t="shared" si="53"/>
        <v/>
      </c>
      <c r="AO166" s="589"/>
      <c r="AP166" s="39"/>
      <c r="AQ166" s="39"/>
      <c r="AR166" s="39"/>
      <c r="AS166" s="306"/>
      <c r="AU166" s="315"/>
      <c r="AV166" s="589"/>
      <c r="AW166" s="39"/>
      <c r="AX166" s="39"/>
      <c r="AY166" s="136"/>
      <c r="AZ166" s="146"/>
      <c r="BA166" s="8"/>
      <c r="BB166" s="143"/>
      <c r="BE166" s="143"/>
      <c r="BF166" s="415" t="s">
        <v>452</v>
      </c>
      <c r="BG166" t="s">
        <v>453</v>
      </c>
    </row>
    <row r="167" spans="1:59" ht="18.600000000000001" customHeight="1" x14ac:dyDescent="0.25">
      <c r="A167" s="1117" t="s">
        <v>454</v>
      </c>
      <c r="B167" s="11">
        <v>-78.491299999999995</v>
      </c>
      <c r="C167" s="11">
        <v>38.068648000000003</v>
      </c>
      <c r="D167" s="24">
        <v>379</v>
      </c>
      <c r="E167" s="1048" t="s">
        <v>289</v>
      </c>
      <c r="F167" s="1015" t="s">
        <v>455</v>
      </c>
      <c r="G167" s="1021" t="s">
        <v>291</v>
      </c>
      <c r="H167" s="1021"/>
      <c r="I167" s="1021"/>
      <c r="J167" s="1015" t="s">
        <v>292</v>
      </c>
      <c r="K167" s="11">
        <v>8.07</v>
      </c>
      <c r="L167" s="11"/>
      <c r="M167" s="11">
        <v>0</v>
      </c>
      <c r="N167" s="11">
        <v>8.07</v>
      </c>
      <c r="O167" s="7">
        <f t="shared" ref="O167:O173" si="54">+M167/K167</f>
        <v>0</v>
      </c>
      <c r="P167" s="7">
        <f t="shared" ref="P167:P173" si="55">+N167/K167</f>
        <v>1</v>
      </c>
      <c r="Q167" s="8"/>
      <c r="R167" s="8"/>
      <c r="S167" s="8"/>
      <c r="T167" s="8">
        <f>IF(J166="TT",IF(F166="u/g detention",(43*0.9*(0.05+0.9*P167)*0.26*$K167*2.72/12)-AK165,(43*0.9*(0.05+0.9*P167)*0.26*$K167*2.72/12)-AK166),43*0.9*(0.05+0.9*P167)*0.26*$K167*2.72/12)</f>
        <v>17.485139880000006</v>
      </c>
      <c r="U167" s="8">
        <f t="shared" ref="U167:U173" si="56">T167*5.2</f>
        <v>90.922727376000026</v>
      </c>
      <c r="V167" s="8">
        <f t="shared" ref="V167:V173" si="57">T167*420.9</f>
        <v>7359.4953754920016</v>
      </c>
      <c r="W167" s="8"/>
      <c r="X167" s="34" t="s">
        <v>278</v>
      </c>
      <c r="Y167" s="257">
        <v>1396.3</v>
      </c>
      <c r="Z167" s="257">
        <v>8.07</v>
      </c>
      <c r="AA167" s="258">
        <f t="shared" ref="AA167:AA173" si="58">IF(Y167="NA", 0, (Y167/43560)*12/Z167)</f>
        <v>4.7664888151539041E-2</v>
      </c>
      <c r="AB167" s="742" t="s">
        <v>296</v>
      </c>
      <c r="AC167" s="288">
        <f t="shared" si="52"/>
        <v>0.5</v>
      </c>
      <c r="AD167" s="742">
        <f t="shared" si="51"/>
        <v>8.7425699400000028</v>
      </c>
      <c r="AE167" s="134">
        <f>IF(ISNA(VLOOKUP(H167,'Efficiency Lookup'!$B$2:$C$38,2,FALSE)),0,(VLOOKUP(H167,'Efficiency Lookup'!$B$2:$C$38,2,FALSE)))</f>
        <v>0</v>
      </c>
      <c r="AF167" s="133">
        <f t="shared" ref="AF167:AF173" si="59">T167*AE167</f>
        <v>0</v>
      </c>
      <c r="AG167" s="134">
        <f>IF(ISNA(VLOOKUP(I167,'Efficiency Lookup'!$D$2:$E$35,2,FALSE)),0,VLOOKUP(I167,'Efficiency Lookup'!$D$2:$E$35,2,FALSE))</f>
        <v>0</v>
      </c>
      <c r="AH167" s="133">
        <f t="shared" ref="AH167:AH173" si="60">T167*AG167</f>
        <v>0</v>
      </c>
      <c r="AI167" s="132">
        <f t="shared" ref="AI167:AI173" si="61">IF(X167="RR",IF((0.0304*(AA167^5)-0.2619*(AA167^4)+0.9161*(AA167^3)-1.6837*(AA167^2)+1.7072*AA167-0.0091)&gt;0.85,0.85,IF((0.0304*(AA167^5)-0.2619*(AA167^4)+0.9161*(AA167^3)-1.6837*(AA167^2)+1.7072*AA167-0.0091)&lt;0,0,(0.0304*(AA167^5)-0.2619*(AA167^4)+0.9161*(AA167^3)-1.6837*(AA167^2)+1.7072*AA167-0.0091))),IF((0.0239*(AA167^5)-0.2058*(AA167^4)+0.7198*(AA167^3)-1.3229*(AA167^2)+1.3414*AA167-0.0072)&gt;0.65,0.65,IF((0.0239*(AA167^5)-0.2058*(AA167^4)+0.7198*(AA167^3)-1.3229*(AA167^2)+1.3414*AA167-0.0072)&lt;0,0,(0.0239*(AA167^5)-0.2058*(AA167^4)+0.7198*(AA167^3)-1.3229*(AA167^2)+1.3414*AA167-0.0072))))</f>
        <v>5.3809021538732967E-2</v>
      </c>
      <c r="AJ167" s="133">
        <f t="shared" ref="AJ167:AJ173" si="62">T167*AI167</f>
        <v>0.9408582684106791</v>
      </c>
      <c r="AK167" s="516">
        <f t="shared" si="53"/>
        <v>8.7425699400000028</v>
      </c>
      <c r="AL167" s="1100">
        <f>SUM(AK167:AK173)</f>
        <v>70.46512512000001</v>
      </c>
      <c r="AM167" s="1100">
        <f>AL167-W166</f>
        <v>-4.6199176607999846</v>
      </c>
      <c r="AN167" s="1118">
        <f>AM167/AL167</f>
        <v>-6.5563179699637264E-2</v>
      </c>
      <c r="AO167" s="138">
        <f>IF(ISNA(VLOOKUP(I167,'Efficiency Lookup'!$D$2:$G$35,3,FALSE)),0,VLOOKUP(I167,'Efficiency Lookup'!$D$2:$G$35,3,FALSE))</f>
        <v>0</v>
      </c>
      <c r="AP167" s="133">
        <f>U167*AO167</f>
        <v>0</v>
      </c>
      <c r="AQ167" s="135">
        <f>IF(X167="RR",IF((0.0308*(AA167^5)-0.2562*(AA167^4)+0.8634*(AA167^3)-1.5285*(AA167^2)+1.501*AA167-0.013)&gt;0.7,0.7,IF((0.0308*(AA167^5)-0.2562*(AA167^4)+0.8634*(AA167^3)-1.5285*(AA167^2)+1.501*AA167-0.013)&lt;0,0,(0.0308*(AA167^5)-0.2562*(AA167^4)+0.8634*(AA167^3)-1.5285*(AA167^2)+1.501*AA167-0.013))),IF((0.0152*(AA167^5)-0.131*(AA167^4)+0.4581*(AA167^3)-0.8418*(AA167^2)+0.8536*AA167-0.0046)&gt;0.65,0.65,IF((0.0152*(AA167^5)-0.131*(AA167^4)+0.4581*(AA167^3)-0.8418*(AA167^2)+0.8536*AA167-0.0046)&lt;0,0,(0.0152*(AA167^5)-0.131*(AA167^4)+0.4581*(AA167^3)-0.8418*(AA167^2)+0.8536*AA167-0.0046))))</f>
        <v>3.422316416553739E-2</v>
      </c>
      <c r="AR167" s="34">
        <f>U167*AQ167</f>
        <v>3.1116634253672495</v>
      </c>
      <c r="AS167" s="400">
        <f t="shared" ref="AS167:AS173" si="63">IF(AK167=AF167,MAX(AP167,AR167),IF(AK167=AH167,AP167,AR167))</f>
        <v>3.1116634253672495</v>
      </c>
      <c r="AT167" s="1100">
        <f>SUM(AS167:AS173)</f>
        <v>9.5692350772846488</v>
      </c>
      <c r="AU167" s="1104">
        <f>AT167*AN167</f>
        <v>-0.62738947896008568</v>
      </c>
      <c r="AV167" s="138">
        <f>IF(ISNA(VLOOKUP(I167,'Efficiency Lookup'!$D$2:$G$35,4,FALSE)),0,VLOOKUP(I167,'Efficiency Lookup'!$D$2:$G$35,4,FALSE))</f>
        <v>0</v>
      </c>
      <c r="AW167" s="133">
        <f t="shared" ref="AW167:AW173" si="64">$V167*AV167</f>
        <v>0</v>
      </c>
      <c r="AX167" s="135">
        <f>IF(X167="RR",IF((0.0326*(AA167^5)-0.2806*(AA167^4)+0.9816*(AA167^3)-1.8039*(AA167^2)+1.8292*AA167-0.0098)&gt;0.85,0.85,IF((0.0326*(AA167^5)-0.2806*(AA167^4)+0.9816*(AA167^3)-1.8039*(AA167^2)+1.8292*AA167-0.0098)&lt;0,0,(0.0326*(AA167^5)-0.2806*(AA167^4)+0.9816*(AA167^3)-1.8039*(AA167^2)+1.8292*AA167-0.0098))),IF((0.0304*(AA167^5)-0.2619*(AA167^4)+0.9161*(AA167^3)-1.6837*(AA167^2)+1.7072*AA167-0.0091)&gt;0.8,0.8,IF((0.0304*(AA167^5)-0.2619*(AA167^4)+0.9161*(AA167^3)-1.6837*(AA167^2)+1.7072*AA167-0.0091)&lt;0,0,(0.0304*(AA167^5)-0.2619*(AA167^4)+0.9161*(AA167^3)-1.6837*(AA167^2)+1.7072*AA167-0.0091))))</f>
        <v>6.8546090823906336E-2</v>
      </c>
      <c r="AY167" s="144">
        <f t="shared" ref="AY167:AY173" si="65">$V167*AX167</f>
        <v>504.46463842659341</v>
      </c>
      <c r="AZ167" s="400">
        <f>IF(AS167=AP167,AW167,AY167)</f>
        <v>504.46463842659341</v>
      </c>
      <c r="BA167" s="1100">
        <f>SUM(AZ167:AZ173)</f>
        <v>1554.1313042690294</v>
      </c>
      <c r="BB167" s="1104">
        <f>BA167*AN167</f>
        <v>-101.89378997862201</v>
      </c>
      <c r="BC167" s="1105">
        <f>AM167</f>
        <v>-4.6199176607999846</v>
      </c>
      <c r="BD167" s="1106">
        <f>AU167</f>
        <v>-0.62738947896008568</v>
      </c>
      <c r="BE167" s="1107">
        <f>BB167</f>
        <v>-101.89378997862201</v>
      </c>
      <c r="BF167" s="14"/>
      <c r="BG167" t="s">
        <v>456</v>
      </c>
    </row>
    <row r="168" spans="1:59" ht="18.600000000000001" customHeight="1" x14ac:dyDescent="0.25">
      <c r="A168" s="1117"/>
      <c r="B168" s="664">
        <v>-78.491280000000003</v>
      </c>
      <c r="C168" s="11">
        <v>38.065292999999997</v>
      </c>
      <c r="D168" s="26">
        <v>379</v>
      </c>
      <c r="E168" s="1048" t="s">
        <v>289</v>
      </c>
      <c r="F168" s="1021" t="s">
        <v>457</v>
      </c>
      <c r="G168" s="1021" t="s">
        <v>352</v>
      </c>
      <c r="H168" s="1021"/>
      <c r="I168" s="1021"/>
      <c r="J168" s="1048" t="s">
        <v>292</v>
      </c>
      <c r="K168" s="11">
        <v>21.54</v>
      </c>
      <c r="L168" s="11"/>
      <c r="M168" s="11">
        <v>0</v>
      </c>
      <c r="N168" s="11">
        <v>17.13</v>
      </c>
      <c r="O168" s="7">
        <f t="shared" si="54"/>
        <v>0</v>
      </c>
      <c r="P168" s="7">
        <f t="shared" si="55"/>
        <v>0.79526462395543174</v>
      </c>
      <c r="Q168" s="8"/>
      <c r="R168" s="8"/>
      <c r="S168" s="8"/>
      <c r="T168" s="8">
        <f>IF(J167="TT",IF(F167="u/g detention",(43*0.9*(0.05+0.9*P168)*0.26*$K168*2.72/12)-AK166,(43*0.9*(0.05+0.9*P168)*0.26*$K168*2.72/12)-AK167),43*0.9*(0.05+0.9*P168)*0.26*$K168*2.72/12)</f>
        <v>28.875625740000004</v>
      </c>
      <c r="U168" s="8">
        <f t="shared" si="56"/>
        <v>150.15325384800002</v>
      </c>
      <c r="V168" s="8">
        <f t="shared" si="57"/>
        <v>12153.750873966001</v>
      </c>
      <c r="X168" s="34" t="s">
        <v>278</v>
      </c>
      <c r="Y168" s="257">
        <v>418.9</v>
      </c>
      <c r="Z168" s="257">
        <v>19.34</v>
      </c>
      <c r="AA168" s="258">
        <f t="shared" si="58"/>
        <v>5.9668794744473976E-3</v>
      </c>
      <c r="AB168" s="742" t="s">
        <v>296</v>
      </c>
      <c r="AC168" s="134">
        <f t="shared" si="52"/>
        <v>0.45</v>
      </c>
      <c r="AD168" s="741">
        <f t="shared" si="51"/>
        <v>12.994031583000002</v>
      </c>
      <c r="AE168" s="135">
        <v>0.6</v>
      </c>
      <c r="AF168" s="34">
        <f t="shared" si="59"/>
        <v>17.325375444000002</v>
      </c>
      <c r="AG168" s="134">
        <f>IF(ISNA(VLOOKUP(I168,'Efficiency Lookup'!$D$2:$E$35,2,FALSE)),0,VLOOKUP(I168,'Efficiency Lookup'!$D$2:$E$35,2,FALSE))</f>
        <v>0</v>
      </c>
      <c r="AH168" s="133">
        <f t="shared" si="60"/>
        <v>0</v>
      </c>
      <c r="AI168" s="132">
        <f t="shared" si="61"/>
        <v>7.5702471311675512E-4</v>
      </c>
      <c r="AJ168" s="133">
        <f t="shared" si="62"/>
        <v>2.1859562291890292E-2</v>
      </c>
      <c r="AK168" s="516">
        <f t="shared" si="53"/>
        <v>17.325375444000002</v>
      </c>
      <c r="AL168" s="1100"/>
      <c r="AM168" s="1100"/>
      <c r="AN168" s="1118"/>
      <c r="AO168" s="138">
        <f>IF(ISNA(VLOOKUP(I168,'Efficiency Lookup'!$D$2:$G$35,3,FALSE)),0,VLOOKUP(I168,'Efficiency Lookup'!$D$2:$G$35,3,FALSE))</f>
        <v>0</v>
      </c>
      <c r="AP168" s="133">
        <f>U168*AO168</f>
        <v>0</v>
      </c>
      <c r="AQ168" s="135">
        <f>IF(X168="RR",IF((0.0308*(AA168^5)-0.2562*(AA168^4)+0.8634*(AA168^3)-1.5285*(AA168^2)+1.501*AA168-0.013)&gt;0.7,0.7,IF((0.0308*(AA168^5)-0.2562*(AA168^4)+0.8634*(AA168^3)-1.5285*(AA168^2)+1.501*AA168-0.013)&lt;0,0,(0.0308*(AA168^5)-0.2562*(AA168^4)+0.8634*(AA168^3)-1.5285*(AA168^2)+1.501*AA168-0.013))),IF((0.0152*(AA168^5)-0.131*(AA168^4)+0.4581*(AA168^3)-0.8418*(AA168^2)+0.8536*AA168-0.0046)&gt;0.65,0.65,IF((0.0152*(AA168^5)-0.131*(AA168^4)+0.4581*(AA168^3)-0.8418*(AA168^2)+0.8536*AA168-0.0046)&lt;0,0,(0.0152*(AA168^5)-0.131*(AA168^4)+0.4581*(AA168^3)-0.8418*(AA168^2)+0.8536*AA168-0.0046))))</f>
        <v>4.6345432031466224E-4</v>
      </c>
      <c r="AR168" s="34">
        <f>U168*AQ168</f>
        <v>6.9589174205159796E-2</v>
      </c>
      <c r="AS168" s="400">
        <f t="shared" si="63"/>
        <v>6.9589174205159796E-2</v>
      </c>
      <c r="AT168" s="1100"/>
      <c r="AU168" s="1104"/>
      <c r="AV168" s="138">
        <f>IF(ISNA(VLOOKUP(I168,'Efficiency Lookup'!$D$2:$G$35,4,FALSE)),0,VLOOKUP(I168,'Efficiency Lookup'!$D$2:$G$35,4,FALSE))</f>
        <v>0</v>
      </c>
      <c r="AW168" s="133">
        <f t="shared" si="64"/>
        <v>0</v>
      </c>
      <c r="AX168" s="135">
        <f>IF(X168="RR",IF((0.0326*(AA168^5)-0.2806*(AA168^4)+0.9816*(AA168^3)-1.8039*(AA168^2)+1.8292*AA168-0.0098)&gt;0.85,0.85,IF((0.0326*(AA168^5)-0.2806*(AA168^4)+0.9816*(AA168^3)-1.8039*(AA168^2)+1.8292*AA168-0.0098)&lt;0,0,(0.0326*(AA168^5)-0.2806*(AA168^4)+0.9816*(AA168^3)-1.8039*(AA168^2)+1.8292*AA168-0.0098))),IF((0.0304*(AA168^5)-0.2619*(AA168^4)+0.9161*(AA168^3)-1.6837*(AA168^2)+1.7072*AA168-0.0091)&gt;0.8,0.8,IF((0.0304*(AA168^5)-0.2619*(AA168^4)+0.9161*(AA168^3)-1.6837*(AA168^2)+1.7072*AA168-0.0091)&lt;0,0,(0.0304*(AA168^5)-0.2619*(AA168^4)+0.9161*(AA168^3)-1.6837*(AA168^2)+1.7072*AA168-0.0091))))</f>
        <v>1.0269050591467498E-3</v>
      </c>
      <c r="AY168" s="144">
        <f t="shared" si="65"/>
        <v>12.480748260084919</v>
      </c>
      <c r="AZ168" s="400">
        <f>IF(AS168=AP168,AW168,AY168)</f>
        <v>12.480748260084919</v>
      </c>
      <c r="BA168" s="1100"/>
      <c r="BB168" s="1104"/>
      <c r="BC168" s="1105"/>
      <c r="BD168" s="1106"/>
      <c r="BE168" s="1107"/>
      <c r="BF168" s="14"/>
      <c r="BG168" t="s">
        <v>458</v>
      </c>
    </row>
    <row r="169" spans="1:59" ht="18.600000000000001" customHeight="1" x14ac:dyDescent="0.25">
      <c r="A169" s="1117"/>
      <c r="B169" s="11">
        <v>-78.491508999999994</v>
      </c>
      <c r="C169" s="11">
        <v>38.065469</v>
      </c>
      <c r="D169" s="26">
        <v>379</v>
      </c>
      <c r="E169" s="1048" t="s">
        <v>293</v>
      </c>
      <c r="F169" s="1048" t="s">
        <v>294</v>
      </c>
      <c r="G169" s="1048"/>
      <c r="H169" s="1021"/>
      <c r="I169" s="1021"/>
      <c r="J169" s="1048"/>
      <c r="K169" s="11">
        <v>21.54</v>
      </c>
      <c r="L169" s="11"/>
      <c r="M169" s="11">
        <v>0</v>
      </c>
      <c r="N169" s="11">
        <v>17.13</v>
      </c>
      <c r="O169" s="7">
        <f t="shared" si="54"/>
        <v>0</v>
      </c>
      <c r="P169" s="7">
        <f t="shared" si="55"/>
        <v>0.79526462395543174</v>
      </c>
      <c r="Q169" s="8"/>
      <c r="R169" s="8"/>
      <c r="S169" s="8"/>
      <c r="T169" s="8">
        <f>IF(J168="TT",IF(F168="u/g detention",(43*0.9*(0.05+0.9*P169)*0.26*$K169*2.72/12)-AK167,(43*0.9*(0.05+0.9*P169)*0.26*$K169*2.72/12)-AK168),43*0.9*(0.05+0.9*P169)*0.26*$K169*2.72/12)</f>
        <v>20.292820236000004</v>
      </c>
      <c r="U169" s="8">
        <f t="shared" si="56"/>
        <v>105.52266522720002</v>
      </c>
      <c r="V169" s="8">
        <f t="shared" si="57"/>
        <v>8541.2480373324015</v>
      </c>
      <c r="X169" s="34" t="s">
        <v>285</v>
      </c>
      <c r="Y169" s="257">
        <v>0</v>
      </c>
      <c r="Z169" s="257">
        <v>19.34</v>
      </c>
      <c r="AA169" s="258">
        <f t="shared" si="58"/>
        <v>0</v>
      </c>
      <c r="AB169" s="742" t="s">
        <v>296</v>
      </c>
      <c r="AC169" s="134" t="str">
        <f t="shared" si="52"/>
        <v>NA</v>
      </c>
      <c r="AD169" s="741">
        <f t="shared" si="51"/>
        <v>0</v>
      </c>
      <c r="AE169" s="134">
        <f>IF(ISNA(VLOOKUP(H169,'Efficiency Lookup'!$B$2:$C$38,2,FALSE)),0,(VLOOKUP(H169,'Efficiency Lookup'!$B$2:$C$38,2,FALSE)))</f>
        <v>0</v>
      </c>
      <c r="AF169" s="133">
        <f t="shared" si="59"/>
        <v>0</v>
      </c>
      <c r="AG169" s="134">
        <f>IF(ISNA(VLOOKUP(I169,'Efficiency Lookup'!$D$2:$E$35,2,FALSE)),0,VLOOKUP(I169,'Efficiency Lookup'!$D$2:$E$35,2,FALSE))</f>
        <v>0</v>
      </c>
      <c r="AH169" s="133">
        <f t="shared" si="60"/>
        <v>0</v>
      </c>
      <c r="AI169" s="132">
        <f t="shared" si="61"/>
        <v>0</v>
      </c>
      <c r="AJ169" s="133">
        <f t="shared" si="62"/>
        <v>0</v>
      </c>
      <c r="AK169" s="516">
        <f t="shared" si="53"/>
        <v>0</v>
      </c>
      <c r="AL169" s="1100"/>
      <c r="AM169" s="1100"/>
      <c r="AN169" s="1118"/>
      <c r="AO169" s="138">
        <f>IF(ISNA(VLOOKUP(I169,'Efficiency Lookup'!$D$2:$G$35,3,FALSE)),0,VLOOKUP(I169,'Efficiency Lookup'!$D$2:$G$35,3,FALSE))</f>
        <v>0</v>
      </c>
      <c r="AP169" s="133">
        <f>U169*AO169</f>
        <v>0</v>
      </c>
      <c r="AQ169" s="134">
        <f>IF(X169="RR",IF((0.0308*(AA169^5)-0.2562*(AA169^4)+0.8634*(AA169^3)-1.5285*(AA169^2)+1.501*AA169-0.013)&gt;0.7,0.7,IF((0.0308*(AA169^5)-0.2562*(AA169^4)+0.8634*(AA169^3)-1.5285*(AA169^2)+1.501*AA169-0.013)&lt;0,0,(0.0308*(AA169^5)-0.2562*(AA169^4)+0.8634*(AA169^3)-1.5285*(AA169^2)+1.501*AA169-0.013))),IF((0.0152*(AA169^5)-0.131*(AA169^4)+0.4581*(AA169^3)-0.8418*(AA169^2)+0.8536*AA169-0.0046)&gt;0.65,0.65,IF((0.0152*(AA169^5)-0.131*(AA169^4)+0.4581*(AA169^3)-0.8418*(AA169^2)+0.8536*AA169-0.0046)&lt;0,0,(0.0152*(AA169^5)-0.131*(AA169^4)+0.4581*(AA169^3)-0.8418*(AA169^2)+0.8536*AA169-0.0046))))</f>
        <v>0</v>
      </c>
      <c r="AR169" s="133">
        <f>U169*AQ169</f>
        <v>0</v>
      </c>
      <c r="AS169" s="400">
        <f t="shared" si="63"/>
        <v>0</v>
      </c>
      <c r="AT169" s="1100"/>
      <c r="AU169" s="1104"/>
      <c r="AV169" s="138">
        <f>IF(ISNA(VLOOKUP(I169,'Efficiency Lookup'!$D$2:$G$35,4,FALSE)),0,VLOOKUP(I169,'Efficiency Lookup'!$D$2:$G$35,4,FALSE))</f>
        <v>0</v>
      </c>
      <c r="AW169" s="133">
        <f t="shared" si="64"/>
        <v>0</v>
      </c>
      <c r="AX169" s="134">
        <f>IF(X169="RR",IF((0.0326*(AA169^5)-0.2806*(AA169^4)+0.9816*(AA169^3)-1.8039*(AA169^2)+1.8292*AA169-0.0098)&gt;0.85,0.85,IF((0.0326*(AA169^5)-0.2806*(AA169^4)+0.9816*(AA169^3)-1.8039*(AA169^2)+1.8292*AA169-0.0098)&lt;0,0,(0.0326*(AA169^5)-0.2806*(AA169^4)+0.9816*(AA169^3)-1.8039*(AA169^2)+1.8292*AA169-0.0098))),IF((0.0304*(AA169^5)-0.2619*(AA169^4)+0.9161*(AA169^3)-1.6837*(AA169^2)+1.7072*AA169-0.0091)&gt;0.8,0.8,IF((0.0304*(AA169^5)-0.2619*(AA169^4)+0.9161*(AA169^3)-1.6837*(AA169^2)+1.7072*AA169-0.0091)&lt;0,0,(0.0304*(AA169^5)-0.2619*(AA169^4)+0.9161*(AA169^3)-1.6837*(AA169^2)+1.7072*AA169-0.0091))))</f>
        <v>0</v>
      </c>
      <c r="AY169" s="137">
        <f t="shared" si="65"/>
        <v>0</v>
      </c>
      <c r="AZ169" s="400">
        <f>IF(AS169=AP169,AW169,AY169)</f>
        <v>0</v>
      </c>
      <c r="BA169" s="1100"/>
      <c r="BB169" s="1104"/>
      <c r="BC169" s="1105"/>
      <c r="BD169" s="1106"/>
      <c r="BE169" s="1107"/>
      <c r="BF169" s="14"/>
    </row>
    <row r="170" spans="1:59" ht="18.600000000000001" customHeight="1" x14ac:dyDescent="0.25">
      <c r="A170" s="1117" t="s">
        <v>459</v>
      </c>
      <c r="B170" s="11">
        <v>-78.492039000000005</v>
      </c>
      <c r="C170" s="11">
        <v>38.067189999999997</v>
      </c>
      <c r="D170" s="26">
        <v>379.15</v>
      </c>
      <c r="E170" s="1048" t="s">
        <v>281</v>
      </c>
      <c r="F170" s="1048" t="s">
        <v>342</v>
      </c>
      <c r="G170" s="1048"/>
      <c r="H170" s="1021" t="s">
        <v>343</v>
      </c>
      <c r="I170" s="1021" t="s">
        <v>284</v>
      </c>
      <c r="J170" s="1048" t="s">
        <v>292</v>
      </c>
      <c r="K170" s="11">
        <v>2.92</v>
      </c>
      <c r="L170" s="11"/>
      <c r="M170" s="11">
        <v>0</v>
      </c>
      <c r="N170" s="11">
        <v>2.17</v>
      </c>
      <c r="O170" s="7">
        <f>+M170/K170</f>
        <v>0</v>
      </c>
      <c r="P170" s="7">
        <f>+N170/K170</f>
        <v>0.74315068493150682</v>
      </c>
      <c r="Q170" s="8"/>
      <c r="R170" s="8"/>
      <c r="S170" s="8"/>
      <c r="T170" s="8">
        <f>IF(J169="TT",IF(F169="u/g detention",(43*0.9*(0.05+0.9*P170)*0.26*$K170*2.72/12)-AK168,(43*0.9*(0.05+0.9*P170)*0.26*$K170*2.72/12)-AK169),43*0.9*(0.05+0.9*P170)*0.26*$K170*2.72/12)</f>
        <v>4.7872312800000012</v>
      </c>
      <c r="U170" s="8">
        <f>T170*5.2</f>
        <v>24.893602656000006</v>
      </c>
      <c r="V170" s="8">
        <f>T170*420.9</f>
        <v>2014.9456457520005</v>
      </c>
      <c r="W170" s="8"/>
      <c r="X170" s="34" t="s">
        <v>285</v>
      </c>
      <c r="Y170" s="257">
        <v>1759</v>
      </c>
      <c r="Z170" s="257">
        <f>N170</f>
        <v>2.17</v>
      </c>
      <c r="AA170" s="258">
        <f>IF(Y170="NA", 0, (Y170/43560)*12/Z170)</f>
        <v>0.22330553122341981</v>
      </c>
      <c r="AB170" s="742" t="s">
        <v>381</v>
      </c>
      <c r="AC170" s="134" t="str">
        <f t="shared" si="52"/>
        <v>NA</v>
      </c>
      <c r="AD170" s="741">
        <f t="shared" si="51"/>
        <v>0</v>
      </c>
      <c r="AE170" s="288">
        <f>IF(ISNA(VLOOKUP(H170,'Efficiency Lookup'!$B$2:$C$38,2,FALSE)),0,(VLOOKUP(H170,'Efficiency Lookup'!$B$2:$C$38,2,FALSE)))</f>
        <v>0.5</v>
      </c>
      <c r="AF170" s="313">
        <f t="shared" si="59"/>
        <v>2.3936156400000006</v>
      </c>
      <c r="AG170" s="134">
        <f>IF(ISNA(VLOOKUP(I170,'Efficiency Lookup'!$D$2:$E$35,2,FALSE)),0,VLOOKUP(I170,'Efficiency Lookup'!$D$2:$E$35,2,FALSE))</f>
        <v>0.45</v>
      </c>
      <c r="AH170" s="133">
        <f t="shared" si="60"/>
        <v>2.1542540760000004</v>
      </c>
      <c r="AI170" s="140">
        <f t="shared" si="61"/>
        <v>0.29773551380237345</v>
      </c>
      <c r="AJ170" s="34">
        <f t="shared" si="62"/>
        <v>1.4253287648415942</v>
      </c>
      <c r="AK170" s="516">
        <f t="shared" si="53"/>
        <v>2.3936156400000006</v>
      </c>
      <c r="AL170" s="1100"/>
      <c r="AM170" s="1100"/>
      <c r="AN170" s="1118"/>
      <c r="AO170" s="138"/>
      <c r="AP170" s="133"/>
      <c r="AQ170" s="135"/>
      <c r="AR170" s="34"/>
      <c r="AS170" s="400"/>
      <c r="AT170" s="1100"/>
      <c r="AU170" s="1104"/>
      <c r="AV170" s="138"/>
      <c r="AW170" s="133"/>
      <c r="AX170" s="135"/>
      <c r="AY170" s="144"/>
      <c r="AZ170" s="400"/>
      <c r="BA170" s="1100"/>
      <c r="BB170" s="1104"/>
      <c r="BC170" s="1105"/>
      <c r="BD170" s="1106"/>
      <c r="BE170" s="1107"/>
      <c r="BF170" s="14"/>
    </row>
    <row r="171" spans="1:59" ht="18.600000000000001" customHeight="1" x14ac:dyDescent="0.25">
      <c r="A171" s="1117"/>
      <c r="B171" s="11">
        <v>-78.487735000000001</v>
      </c>
      <c r="C171" s="11">
        <v>38.067670999999997</v>
      </c>
      <c r="D171" s="26">
        <v>379</v>
      </c>
      <c r="E171" s="1048" t="s">
        <v>289</v>
      </c>
      <c r="F171" s="1048" t="s">
        <v>460</v>
      </c>
      <c r="G171" s="1021" t="s">
        <v>291</v>
      </c>
      <c r="H171" s="1021"/>
      <c r="I171" s="1021"/>
      <c r="J171" s="1048" t="s">
        <v>292</v>
      </c>
      <c r="K171" s="11">
        <v>8.35</v>
      </c>
      <c r="L171" s="11"/>
      <c r="M171" s="11">
        <v>0</v>
      </c>
      <c r="N171" s="11">
        <v>8.35</v>
      </c>
      <c r="O171" s="7">
        <f t="shared" si="54"/>
        <v>0</v>
      </c>
      <c r="P171" s="7">
        <f t="shared" si="55"/>
        <v>1</v>
      </c>
      <c r="Q171" s="8"/>
      <c r="R171" s="8"/>
      <c r="S171" s="8"/>
      <c r="T171" s="8">
        <f>IF(J169="TT",IF(F169="u/g detention",(43*0.9*(0.05+0.9*P171)*0.26*$K171*2.72/12)-AK168,(43*0.9*(0.05+0.9*P171)*0.26*$K171*2.72/12)-AK169),43*0.9*(0.05+0.9*P171)*0.26*$K171*2.72/12)</f>
        <v>18.091811400000008</v>
      </c>
      <c r="U171" s="8">
        <f t="shared" si="56"/>
        <v>94.077419280000043</v>
      </c>
      <c r="V171" s="8">
        <f t="shared" si="57"/>
        <v>7614.8434182600031</v>
      </c>
      <c r="X171" s="34" t="s">
        <v>278</v>
      </c>
      <c r="Y171" s="257">
        <v>1562</v>
      </c>
      <c r="Z171" s="257">
        <v>6.87</v>
      </c>
      <c r="AA171" s="258">
        <f t="shared" si="58"/>
        <v>6.2635084469145605E-2</v>
      </c>
      <c r="AB171" s="742" t="s">
        <v>296</v>
      </c>
      <c r="AC171" s="288">
        <f t="shared" si="52"/>
        <v>0.5</v>
      </c>
      <c r="AD171" s="742">
        <f t="shared" si="51"/>
        <v>9.045905700000004</v>
      </c>
      <c r="AE171" s="134">
        <f>IF(ISNA(VLOOKUP(H171,'Efficiency Lookup'!$B$2:$C$38,2,FALSE)),0,(VLOOKUP(H171,'Efficiency Lookup'!$B$2:$C$38,2,FALSE)))</f>
        <v>0</v>
      </c>
      <c r="AF171" s="133">
        <f t="shared" si="59"/>
        <v>0</v>
      </c>
      <c r="AG171" s="134">
        <f>IF(ISNA(VLOOKUP(I171,'Efficiency Lookup'!$D$2:$E$35,2,FALSE)),0,VLOOKUP(I171,'Efficiency Lookup'!$D$2:$E$35,2,FALSE))</f>
        <v>0</v>
      </c>
      <c r="AH171" s="133">
        <f t="shared" si="60"/>
        <v>0</v>
      </c>
      <c r="AI171" s="132">
        <f t="shared" si="61"/>
        <v>7.1802492025828266E-2</v>
      </c>
      <c r="AJ171" s="133">
        <f t="shared" si="62"/>
        <v>1.2990371437812895</v>
      </c>
      <c r="AK171" s="516">
        <f t="shared" si="53"/>
        <v>9.045905700000004</v>
      </c>
      <c r="AL171" s="1100"/>
      <c r="AM171" s="1100"/>
      <c r="AN171" s="1118"/>
      <c r="AO171" s="138">
        <f>IF(ISNA(VLOOKUP(I171,'Efficiency Lookup'!$D$2:$G$35,3,FALSE)),0,VLOOKUP(I171,'Efficiency Lookup'!$D$2:$G$35,3,FALSE))</f>
        <v>0</v>
      </c>
      <c r="AP171" s="133">
        <f>U171*AO171</f>
        <v>0</v>
      </c>
      <c r="AQ171" s="135">
        <f>IF(X171="RR",IF((0.0308*(AA171^5)-0.2562*(AA171^4)+0.8634*(AA171^3)-1.5285*(AA171^2)+1.501*AA171-0.013)&gt;0.7,0.7,IF((0.0308*(AA171^5)-0.2562*(AA171^4)+0.8634*(AA171^3)-1.5285*(AA171^2)+1.501*AA171-0.013)&lt;0,0,(0.0308*(AA171^5)-0.2562*(AA171^4)+0.8634*(AA171^3)-1.5285*(AA171^2)+1.501*AA171-0.013))),IF((0.0152*(AA171^5)-0.131*(AA171^4)+0.4581*(AA171^3)-0.8418*(AA171^2)+0.8536*AA171-0.0046)&gt;0.65,0.65,IF((0.0152*(AA171^5)-0.131*(AA171^4)+0.4581*(AA171^3)-0.8418*(AA171^2)+0.8536*AA171-0.0046)&lt;0,0,(0.0152*(AA171^5)-0.131*(AA171^4)+0.4581*(AA171^3)-0.8418*(AA171^2)+0.8536*AA171-0.0046))))</f>
        <v>4.5673363213771405E-2</v>
      </c>
      <c r="AR171" s="34">
        <f>U171*AQ171</f>
        <v>4.2968321409897028</v>
      </c>
      <c r="AS171" s="400">
        <f t="shared" si="63"/>
        <v>4.2968321409897028</v>
      </c>
      <c r="AT171" s="1100"/>
      <c r="AU171" s="1104"/>
      <c r="AV171" s="138">
        <f>IF(ISNA(VLOOKUP(I171,'Efficiency Lookup'!$D$2:$G$35,4,FALSE)),0,VLOOKUP(I171,'Efficiency Lookup'!$D$2:$G$35,4,FALSE))</f>
        <v>0</v>
      </c>
      <c r="AW171" s="133">
        <f t="shared" si="64"/>
        <v>0</v>
      </c>
      <c r="AX171" s="135">
        <f>IF(X171="RR",IF((0.0326*(AA171^5)-0.2806*(AA171^4)+0.9816*(AA171^3)-1.8039*(AA171^2)+1.8292*AA171-0.0098)&gt;0.85,0.85,IF((0.0326*(AA171^5)-0.2806*(AA171^4)+0.9816*(AA171^3)-1.8039*(AA171^2)+1.8292*AA171-0.0098)&lt;0,0,(0.0326*(AA171^5)-0.2806*(AA171^4)+0.9816*(AA171^3)-1.8039*(AA171^2)+1.8292*AA171-0.0098))),IF((0.0304*(AA171^5)-0.2619*(AA171^4)+0.9161*(AA171^3)-1.6837*(AA171^2)+1.7072*AA171-0.0091)&gt;0.8,0.8,IF((0.0304*(AA171^5)-0.2619*(AA171^4)+0.9161*(AA171^3)-1.6837*(AA171^2)+1.7072*AA171-0.0091)&lt;0,0,(0.0304*(AA171^5)-0.2619*(AA171^4)+0.9161*(AA171^3)-1.6837*(AA171^2)+1.7072*AA171-0.0091))))</f>
        <v>9.1446311078568737E-2</v>
      </c>
      <c r="AY171" s="144">
        <f t="shared" si="65"/>
        <v>696.34934004079594</v>
      </c>
      <c r="AZ171" s="400">
        <f>IF(AS171=AP171,AW171,AY171)</f>
        <v>696.34934004079594</v>
      </c>
      <c r="BA171" s="1100"/>
      <c r="BB171" s="1104"/>
      <c r="BC171" s="1105"/>
      <c r="BD171" s="1106"/>
      <c r="BE171" s="1107"/>
      <c r="BF171" s="14"/>
    </row>
    <row r="172" spans="1:59" ht="18.600000000000001" customHeight="1" x14ac:dyDescent="0.25">
      <c r="A172" s="1117"/>
      <c r="B172" s="11">
        <v>-78.487571000000003</v>
      </c>
      <c r="C172" s="11">
        <v>38.067552999999997</v>
      </c>
      <c r="D172" s="26">
        <v>379</v>
      </c>
      <c r="E172" s="1048" t="s">
        <v>289</v>
      </c>
      <c r="F172" s="1021" t="s">
        <v>461</v>
      </c>
      <c r="G172" s="1021" t="s">
        <v>352</v>
      </c>
      <c r="H172" s="1021"/>
      <c r="I172" s="1021"/>
      <c r="J172" s="1048" t="s">
        <v>292</v>
      </c>
      <c r="K172" s="11">
        <f>41.42+K170</f>
        <v>44.34</v>
      </c>
      <c r="L172" s="11"/>
      <c r="M172" s="11">
        <v>0</v>
      </c>
      <c r="N172" s="11">
        <f>12.43+15.27+2.17</f>
        <v>29.869999999999997</v>
      </c>
      <c r="O172" s="25">
        <f t="shared" si="54"/>
        <v>0</v>
      </c>
      <c r="P172" s="25">
        <f t="shared" si="55"/>
        <v>0.67365809652683795</v>
      </c>
      <c r="Q172" s="8"/>
      <c r="R172" s="8"/>
      <c r="S172" s="8"/>
      <c r="T172" s="8">
        <f>IF(J171="TT",IF(F171="u/g detention",(43*0.9*(0.05+0.9*P172)*0.26*$K172*2.72/12)-AK169,(43*0.9*(0.05+0.9*P172)*0.26*$K172*2.72/12)-AK171-AK170),43*0.9*(0.05+0.9*P172)*0.26*$K172*2.72/12)</f>
        <v>54.929430660000016</v>
      </c>
      <c r="U172" s="8">
        <f>T172*5.2</f>
        <v>285.63303943200009</v>
      </c>
      <c r="V172" s="8">
        <f t="shared" si="57"/>
        <v>23119.797364794005</v>
      </c>
      <c r="X172" s="34" t="s">
        <v>278</v>
      </c>
      <c r="Y172" s="257">
        <v>1562.8</v>
      </c>
      <c r="Z172" s="257">
        <v>30.4</v>
      </c>
      <c r="AA172" s="258">
        <f t="shared" si="58"/>
        <v>1.4161954472959258E-2</v>
      </c>
      <c r="AB172" s="742" t="s">
        <v>296</v>
      </c>
      <c r="AC172" s="134">
        <f t="shared" si="52"/>
        <v>0.45</v>
      </c>
      <c r="AD172" s="741">
        <f t="shared" si="51"/>
        <v>24.718243797000007</v>
      </c>
      <c r="AE172" s="135">
        <v>0.6</v>
      </c>
      <c r="AF172" s="34">
        <f t="shared" si="59"/>
        <v>32.957658396000006</v>
      </c>
      <c r="AG172" s="134">
        <f>IF(ISNA(VLOOKUP(I172,'Efficiency Lookup'!$D$2:$E$35,2,FALSE)),0,VLOOKUP(I172,'Efficiency Lookup'!$D$2:$E$35,2,FALSE))</f>
        <v>0</v>
      </c>
      <c r="AH172" s="133">
        <f t="shared" si="60"/>
        <v>0</v>
      </c>
      <c r="AI172" s="132">
        <f t="shared" si="61"/>
        <v>1.1533559851909287E-2</v>
      </c>
      <c r="AJ172" s="133">
        <f t="shared" si="62"/>
        <v>0.63353187614841122</v>
      </c>
      <c r="AK172" s="516">
        <f t="shared" si="53"/>
        <v>32.957658396000006</v>
      </c>
      <c r="AL172" s="1100"/>
      <c r="AM172" s="1100"/>
      <c r="AN172" s="1118"/>
      <c r="AO172" s="138">
        <f>IF(ISNA(VLOOKUP(I172,'Efficiency Lookup'!$D$2:$G$35,3,FALSE)),0,VLOOKUP(I172,'Efficiency Lookup'!$D$2:$G$35,3,FALSE))</f>
        <v>0</v>
      </c>
      <c r="AP172" s="133">
        <f>U172*AO172</f>
        <v>0</v>
      </c>
      <c r="AQ172" s="135">
        <f>IF(X172="RR",IF((0.0308*(AA172^5)-0.2562*(AA172^4)+0.8634*(AA172^3)-1.5285*(AA172^2)+1.501*AA172-0.013)&gt;0.7,0.7,IF((0.0308*(AA172^5)-0.2562*(AA172^4)+0.8634*(AA172^3)-1.5285*(AA172^2)+1.501*AA172-0.013)&lt;0,0,(0.0308*(AA172^5)-0.2562*(AA172^4)+0.8634*(AA172^3)-1.5285*(AA172^2)+1.501*AA172-0.013))),IF((0.0152*(AA172^5)-0.131*(AA172^4)+0.4581*(AA172^3)-0.8418*(AA172^2)+0.8536*AA172-0.0046)&gt;0.65,0.65,IF((0.0152*(AA172^5)-0.131*(AA172^4)+0.4581*(AA172^3)-0.8418*(AA172^2)+0.8536*AA172-0.0046)&lt;0,0,(0.0152*(AA172^5)-0.131*(AA172^4)+0.4581*(AA172^3)-0.8418*(AA172^2)+0.8536*AA172-0.0046))))</f>
        <v>7.3211080233607628E-3</v>
      </c>
      <c r="AR172" s="34">
        <f>U172*AQ172</f>
        <v>2.0911503367225368</v>
      </c>
      <c r="AS172" s="400">
        <f t="shared" si="63"/>
        <v>2.0911503367225368</v>
      </c>
      <c r="AT172" s="1100"/>
      <c r="AU172" s="1104"/>
      <c r="AV172" s="138">
        <f>IF(ISNA(VLOOKUP(I172,'Efficiency Lookup'!$D$2:$G$35,4,FALSE)),0,VLOOKUP(I172,'Efficiency Lookup'!$D$2:$G$35,4,FALSE))</f>
        <v>0</v>
      </c>
      <c r="AW172" s="133">
        <f t="shared" si="64"/>
        <v>0</v>
      </c>
      <c r="AX172" s="135">
        <f>IF(X172="RR",IF((0.0326*(AA172^5)-0.2806*(AA172^4)+0.9816*(AA172^3)-1.8039*(AA172^2)+1.8292*AA172-0.0098)&gt;0.85,0.85,IF((0.0326*(AA172^5)-0.2806*(AA172^4)+0.9816*(AA172^3)-1.8039*(AA172^2)+1.8292*AA172-0.0098)&lt;0,0,(0.0326*(AA172^5)-0.2806*(AA172^4)+0.9816*(AA172^3)-1.8039*(AA172^2)+1.8292*AA172-0.0098))),IF((0.0304*(AA172^5)-0.2619*(AA172^4)+0.9161*(AA172^3)-1.6837*(AA172^2)+1.7072*AA172-0.0091)&gt;0.8,0.8,IF((0.0304*(AA172^5)-0.2619*(AA172^4)+0.9161*(AA172^3)-1.6837*(AA172^2)+1.7072*AA172-0.0091)&lt;0,0,(0.0304*(AA172^5)-0.2619*(AA172^4)+0.9161*(AA172^3)-1.6837*(AA172^2)+1.7072*AA172-0.0091))))</f>
        <v>1.4742195710615035E-2</v>
      </c>
      <c r="AY172" s="144">
        <f t="shared" si="65"/>
        <v>340.83657754155496</v>
      </c>
      <c r="AZ172" s="400">
        <f>IF(AS172=AP172,AW172,AY172)</f>
        <v>340.83657754155496</v>
      </c>
      <c r="BA172" s="1100"/>
      <c r="BB172" s="1104"/>
      <c r="BC172" s="1105"/>
      <c r="BD172" s="1106"/>
      <c r="BE172" s="1107"/>
      <c r="BF172" s="14"/>
      <c r="BG172" t="s">
        <v>287</v>
      </c>
    </row>
    <row r="173" spans="1:59" ht="18.600000000000001" customHeight="1" x14ac:dyDescent="0.25">
      <c r="A173" s="1117"/>
      <c r="B173" s="11">
        <v>-78.488352000000006</v>
      </c>
      <c r="C173" s="11">
        <v>38.068055000000001</v>
      </c>
      <c r="D173" s="26">
        <v>379</v>
      </c>
      <c r="E173" s="1048" t="s">
        <v>293</v>
      </c>
      <c r="F173" s="1048" t="s">
        <v>294</v>
      </c>
      <c r="G173" s="1048"/>
      <c r="H173" s="1021"/>
      <c r="I173" s="1021"/>
      <c r="J173" s="1048"/>
      <c r="K173" s="11">
        <f>K172</f>
        <v>44.34</v>
      </c>
      <c r="L173" s="11"/>
      <c r="M173" s="11">
        <v>0</v>
      </c>
      <c r="N173" s="11">
        <f>N172</f>
        <v>29.869999999999997</v>
      </c>
      <c r="O173" s="25">
        <f t="shared" si="54"/>
        <v>0</v>
      </c>
      <c r="P173" s="25">
        <f t="shared" si="55"/>
        <v>0.67365809652683795</v>
      </c>
      <c r="Q173" s="8"/>
      <c r="R173" s="8"/>
      <c r="S173" s="8"/>
      <c r="T173" s="8">
        <f>IF(J172="TT",IF(F172="u/g detention",(43*0.9*(0.05+0.9*P173)*0.26*$K173*2.72/12)-AK171,(43*0.9*(0.05+0.9*P173)*0.26*$K173*2.72/12)-AK172),43*0.9*(0.05+0.9*P173)*0.26*$K173*2.72/12)</f>
        <v>33.411293604000015</v>
      </c>
      <c r="U173" s="8">
        <f t="shared" si="56"/>
        <v>173.73872674080008</v>
      </c>
      <c r="V173" s="8">
        <f t="shared" si="57"/>
        <v>14062.813477923606</v>
      </c>
      <c r="X173" s="34" t="s">
        <v>285</v>
      </c>
      <c r="Y173" s="257">
        <v>0</v>
      </c>
      <c r="Z173" s="257">
        <v>30.4</v>
      </c>
      <c r="AA173" s="258">
        <f t="shared" si="58"/>
        <v>0</v>
      </c>
      <c r="AB173" s="742" t="s">
        <v>296</v>
      </c>
      <c r="AC173" s="134" t="str">
        <f t="shared" si="52"/>
        <v>NA</v>
      </c>
      <c r="AD173" s="741">
        <f t="shared" si="51"/>
        <v>0</v>
      </c>
      <c r="AE173" s="134">
        <f>IF(ISNA(VLOOKUP(H173,'Efficiency Lookup'!$B$2:$C$38,2,FALSE)),0,(VLOOKUP(H173,'Efficiency Lookup'!$B$2:$C$38,2,FALSE)))</f>
        <v>0</v>
      </c>
      <c r="AF173" s="133">
        <f t="shared" si="59"/>
        <v>0</v>
      </c>
      <c r="AG173" s="134">
        <f>IF(ISNA(VLOOKUP(I173,'Efficiency Lookup'!$D$2:$E$35,2,FALSE)),0,VLOOKUP(I173,'Efficiency Lookup'!$D$2:$E$35,2,FALSE))</f>
        <v>0</v>
      </c>
      <c r="AH173" s="133">
        <f t="shared" si="60"/>
        <v>0</v>
      </c>
      <c r="AI173" s="132">
        <f t="shared" si="61"/>
        <v>0</v>
      </c>
      <c r="AJ173" s="133">
        <f t="shared" si="62"/>
        <v>0</v>
      </c>
      <c r="AK173" s="516">
        <f t="shared" si="53"/>
        <v>0</v>
      </c>
      <c r="AL173" s="1100"/>
      <c r="AM173" s="1100"/>
      <c r="AN173" s="1118"/>
      <c r="AO173" s="138">
        <f>IF(ISNA(VLOOKUP(I173,'Efficiency Lookup'!$D$2:$G$35,3,FALSE)),0,VLOOKUP(I173,'Efficiency Lookup'!$D$2:$G$35,3,FALSE))</f>
        <v>0</v>
      </c>
      <c r="AP173" s="133">
        <f>U173*AO173</f>
        <v>0</v>
      </c>
      <c r="AQ173" s="134">
        <f>IF(X173="RR",IF((0.0308*(AA173^5)-0.2562*(AA173^4)+0.8634*(AA173^3)-1.5285*(AA173^2)+1.501*AA173-0.013)&gt;0.7,0.7,IF((0.0308*(AA173^5)-0.2562*(AA173^4)+0.8634*(AA173^3)-1.5285*(AA173^2)+1.501*AA173-0.013)&lt;0,0,(0.0308*(AA173^5)-0.2562*(AA173^4)+0.8634*(AA173^3)-1.5285*(AA173^2)+1.501*AA173-0.013))),IF((0.0152*(AA173^5)-0.131*(AA173^4)+0.4581*(AA173^3)-0.8418*(AA173^2)+0.8536*AA173-0.0046)&gt;0.65,0.65,IF((0.0152*(AA173^5)-0.131*(AA173^4)+0.4581*(AA173^3)-0.8418*(AA173^2)+0.8536*AA173-0.0046)&lt;0,0,(0.0152*(AA173^5)-0.131*(AA173^4)+0.4581*(AA173^3)-0.8418*(AA173^2)+0.8536*AA173-0.0046))))</f>
        <v>0</v>
      </c>
      <c r="AR173" s="133">
        <f>U173*AQ173</f>
        <v>0</v>
      </c>
      <c r="AS173" s="400">
        <f t="shared" si="63"/>
        <v>0</v>
      </c>
      <c r="AT173" s="1100"/>
      <c r="AU173" s="1104"/>
      <c r="AV173" s="138">
        <f>IF(ISNA(VLOOKUP(I173,'Efficiency Lookup'!$D$2:$G$35,4,FALSE)),0,VLOOKUP(I173,'Efficiency Lookup'!$D$2:$G$35,4,FALSE))</f>
        <v>0</v>
      </c>
      <c r="AW173" s="133">
        <f t="shared" si="64"/>
        <v>0</v>
      </c>
      <c r="AX173" s="134">
        <f>IF(X173="RR",IF((0.0326*(AA173^5)-0.2806*(AA173^4)+0.9816*(AA173^3)-1.8039*(AA173^2)+1.8292*AA173-0.0098)&gt;0.85,0.85,IF((0.0326*(AA173^5)-0.2806*(AA173^4)+0.9816*(AA173^3)-1.8039*(AA173^2)+1.8292*AA173-0.0098)&lt;0,0,(0.0326*(AA173^5)-0.2806*(AA173^4)+0.9816*(AA173^3)-1.8039*(AA173^2)+1.8292*AA173-0.0098))),IF((0.0304*(AA173^5)-0.2619*(AA173^4)+0.9161*(AA173^3)-1.6837*(AA173^2)+1.7072*AA173-0.0091)&gt;0.8,0.8,IF((0.0304*(AA173^5)-0.2619*(AA173^4)+0.9161*(AA173^3)-1.6837*(AA173^2)+1.7072*AA173-0.0091)&lt;0,0,(0.0304*(AA173^5)-0.2619*(AA173^4)+0.9161*(AA173^3)-1.6837*(AA173^2)+1.7072*AA173-0.0091))))</f>
        <v>0</v>
      </c>
      <c r="AY173" s="137">
        <f t="shared" si="65"/>
        <v>0</v>
      </c>
      <c r="AZ173" s="400">
        <f>IF(AS173=AP173,AW173,AY173)</f>
        <v>0</v>
      </c>
      <c r="BA173" s="1100"/>
      <c r="BB173" s="1104"/>
      <c r="BC173" s="1105"/>
      <c r="BD173" s="1106"/>
      <c r="BE173" s="1107"/>
      <c r="BF173" s="14"/>
    </row>
    <row r="174" spans="1:59" s="268" customFormat="1" ht="18.600000000000001" customHeight="1" x14ac:dyDescent="0.25">
      <c r="A174" s="269"/>
      <c r="B174" s="281"/>
      <c r="C174" s="281"/>
      <c r="D174" s="281"/>
      <c r="E174" s="262"/>
      <c r="F174" s="262"/>
      <c r="G174" s="262"/>
      <c r="H174" s="263"/>
      <c r="I174" s="263"/>
      <c r="J174" s="262"/>
      <c r="K174" s="271"/>
      <c r="L174" s="271"/>
      <c r="M174" s="271"/>
      <c r="N174" s="271"/>
      <c r="O174" s="273"/>
      <c r="P174" s="273"/>
      <c r="Q174" s="264"/>
      <c r="R174" s="264"/>
      <c r="S174" s="264"/>
      <c r="T174" s="264"/>
      <c r="U174" s="264"/>
      <c r="V174" s="264"/>
      <c r="W174" s="264"/>
      <c r="X174" s="264"/>
      <c r="Y174" s="272"/>
      <c r="Z174" s="272"/>
      <c r="AA174" s="264"/>
      <c r="AB174" s="743" t="s">
        <v>297</v>
      </c>
      <c r="AC174" s="751" t="str">
        <f t="shared" si="52"/>
        <v/>
      </c>
      <c r="AD174" s="303" t="str">
        <f t="shared" si="51"/>
        <v/>
      </c>
      <c r="AE174" s="274"/>
      <c r="AF174" s="266"/>
      <c r="AG174" s="303"/>
      <c r="AH174" s="274"/>
      <c r="AI174" s="303"/>
      <c r="AJ174" s="274"/>
      <c r="AK174" s="329" t="str">
        <f t="shared" si="53"/>
        <v/>
      </c>
      <c r="AO174" s="329"/>
      <c r="AP174" s="303"/>
      <c r="AQ174" s="303"/>
      <c r="AR174" s="303"/>
      <c r="AS174" s="326"/>
      <c r="AU174" s="267"/>
      <c r="AV174" s="328"/>
      <c r="AW174" s="264"/>
      <c r="AX174" s="303"/>
      <c r="AY174" s="285"/>
      <c r="AZ174" s="280"/>
      <c r="BA174" s="264"/>
      <c r="BB174" s="331"/>
      <c r="BE174" s="331"/>
      <c r="BF174" s="277"/>
    </row>
    <row r="175" spans="1:59" ht="18.600000000000001" customHeight="1" x14ac:dyDescent="0.25">
      <c r="A175" s="11" t="s">
        <v>462</v>
      </c>
      <c r="B175" s="11"/>
      <c r="C175" s="11"/>
      <c r="D175" s="1111" t="s">
        <v>271</v>
      </c>
      <c r="E175" s="1116"/>
      <c r="F175" s="1019"/>
      <c r="G175" s="1019"/>
      <c r="H175" s="1021"/>
      <c r="I175" s="1021"/>
      <c r="J175" s="1019" t="s">
        <v>348</v>
      </c>
      <c r="K175" s="11">
        <v>36.9</v>
      </c>
      <c r="L175" s="11"/>
      <c r="M175" s="11">
        <v>8.0500000000000007</v>
      </c>
      <c r="N175" s="9">
        <v>8.56</v>
      </c>
      <c r="O175" s="7">
        <f>+M175/K175</f>
        <v>0.21815718157181574</v>
      </c>
      <c r="P175" s="7">
        <f>+N175/K175</f>
        <v>0.23197831978319786</v>
      </c>
      <c r="Q175" s="39">
        <f>43*0.9*(0.05+0.9*0.16)*0.26*$K175*2.72/12</f>
        <v>16.326762192</v>
      </c>
      <c r="R175" s="8">
        <f>43*0.9*(0.05+0.9*O175)*0.26*$K175*2.72/12</f>
        <v>20.731744800000012</v>
      </c>
      <c r="S175" s="8">
        <f>IF(J175="R",R175,Q175)</f>
        <v>20.731744800000012</v>
      </c>
      <c r="T175" s="8">
        <f>43*0.9*(0.05+0.9*P175)*0.26*$K175*2.72/12</f>
        <v>21.778595280000005</v>
      </c>
      <c r="U175" s="8">
        <f>T175*5.2</f>
        <v>113.24869545600002</v>
      </c>
      <c r="V175" s="8">
        <f>T175*420.9</f>
        <v>9166.6107533520008</v>
      </c>
      <c r="W175" s="8">
        <f>IF(P175 &lt; 16%, 0, IF(K175 &lt; 1, 0, T175-S175))</f>
        <v>1.0468504799999927</v>
      </c>
      <c r="X175" s="8"/>
      <c r="Y175" s="257"/>
      <c r="Z175" s="257"/>
      <c r="AA175" s="8"/>
      <c r="AB175" s="744" t="s">
        <v>297</v>
      </c>
      <c r="AC175" s="750" t="str">
        <f t="shared" si="52"/>
        <v/>
      </c>
      <c r="AD175" s="39" t="str">
        <f t="shared" si="51"/>
        <v/>
      </c>
      <c r="AE175" s="133"/>
      <c r="AF175" s="34"/>
      <c r="AG175" s="39"/>
      <c r="AH175" s="133"/>
      <c r="AI175" s="39"/>
      <c r="AJ175" s="133"/>
      <c r="AK175" s="327" t="str">
        <f t="shared" si="53"/>
        <v/>
      </c>
      <c r="AO175" s="589"/>
      <c r="AP175" s="39"/>
      <c r="AQ175" s="39"/>
      <c r="AR175" s="39"/>
      <c r="AS175" s="306"/>
      <c r="AU175" s="28"/>
      <c r="AV175" s="589"/>
      <c r="AW175" s="39"/>
      <c r="AX175" s="39"/>
      <c r="AY175" s="136"/>
      <c r="AZ175" s="146"/>
      <c r="BA175" s="8"/>
      <c r="BB175" s="143"/>
      <c r="BE175" s="143"/>
      <c r="BF175" s="14" t="s">
        <v>341</v>
      </c>
      <c r="BG175" t="s">
        <v>300</v>
      </c>
    </row>
    <row r="176" spans="1:59" ht="18.600000000000001" customHeight="1" x14ac:dyDescent="0.25">
      <c r="A176" s="10" t="s">
        <v>463</v>
      </c>
      <c r="B176" s="11">
        <v>-78.439194000000001</v>
      </c>
      <c r="C176" s="11">
        <v>38.113143999999998</v>
      </c>
      <c r="D176" s="26">
        <v>39.03</v>
      </c>
      <c r="E176" s="1048" t="s">
        <v>281</v>
      </c>
      <c r="F176" s="1048" t="s">
        <v>342</v>
      </c>
      <c r="G176" s="1048"/>
      <c r="H176" s="1021" t="s">
        <v>343</v>
      </c>
      <c r="I176" s="1021" t="s">
        <v>284</v>
      </c>
      <c r="J176" s="1048"/>
      <c r="K176" s="11">
        <v>0.6</v>
      </c>
      <c r="L176" s="11"/>
      <c r="M176" s="11">
        <v>0.16</v>
      </c>
      <c r="N176" s="11">
        <v>0.24</v>
      </c>
      <c r="O176" s="7">
        <f>+M176/K176</f>
        <v>0.26666666666666666</v>
      </c>
      <c r="P176" s="7">
        <f>+N176/K176</f>
        <v>0.4</v>
      </c>
      <c r="Q176" s="8"/>
      <c r="R176" s="8"/>
      <c r="S176" s="8"/>
      <c r="T176" s="8">
        <f>IF(J175="TT",IF(F175="u/g detention",(43*0.9*(0.05+0.9*P176)*0.26*$K176*2.72/12)-AK174,(43*0.9*(0.05+0.9*P176)*0.26*$K176*2.72/12)-AK175),43*0.9*(0.05+0.9*P176)*0.26*$K176*2.72/12)</f>
        <v>0.56105712000000019</v>
      </c>
      <c r="U176" s="8">
        <f>T176*5.2</f>
        <v>2.9174970240000011</v>
      </c>
      <c r="V176" s="8">
        <f>T176*420.9</f>
        <v>236.14894180800007</v>
      </c>
      <c r="W176" s="8"/>
      <c r="X176" s="34" t="s">
        <v>285</v>
      </c>
      <c r="Y176" s="257">
        <v>729</v>
      </c>
      <c r="Z176" s="257">
        <v>0.24</v>
      </c>
      <c r="AA176" s="258">
        <f>IF(Y176="NA", 0, (Y176/43560)*12/Z176)</f>
        <v>0.83677685950413228</v>
      </c>
      <c r="AB176" s="742" t="s">
        <v>286</v>
      </c>
      <c r="AC176" s="134" t="str">
        <f t="shared" si="52"/>
        <v>NA</v>
      </c>
      <c r="AD176" s="741">
        <f t="shared" si="51"/>
        <v>0</v>
      </c>
      <c r="AE176" s="134">
        <f>IF(ISNA(VLOOKUP(H176,'Efficiency Lookup'!$B$2:$C$38,2,FALSE)),0,(VLOOKUP(H176,'Efficiency Lookup'!$B$2:$C$38,2,FALSE)))</f>
        <v>0.5</v>
      </c>
      <c r="AF176" s="133">
        <f>T176*AE176</f>
        <v>0.28052856000000009</v>
      </c>
      <c r="AG176" s="134">
        <f>IF(ISNA(VLOOKUP(I176,'Efficiency Lookup'!$D$2:$E$35,2,FALSE)),0,VLOOKUP(I176,'Efficiency Lookup'!$D$2:$E$35,2,FALSE))</f>
        <v>0.45</v>
      </c>
      <c r="AH176" s="133">
        <f>T176*AG176</f>
        <v>0.25247570400000008</v>
      </c>
      <c r="AI176" s="140">
        <f>IF(X176="RR",IF((0.0304*(AA176^5)-0.2619*(AA176^4)+0.9161*(AA176^3)-1.6837*(AA176^2)+1.7072*AA176-0.0091)&gt;0.85,0.85,IF((0.0304*(AA176^5)-0.2619*(AA176^4)+0.9161*(AA176^3)-1.6837*(AA176^2)+1.7072*AA176-0.0091)&lt;0,0,(0.0304*(AA176^5)-0.2619*(AA176^4)+0.9161*(AA176^3)-1.6837*(AA176^2)+1.7072*AA176-0.0091))),IF((0.0239*(AA176^5)-0.2058*(AA176^4)+0.7198*(AA176^3)-1.3229*(AA176^2)+1.3414*AA176-0.0072)&gt;0.65,0.65,IF((0.0239*(AA176^5)-0.2058*(AA176^4)+0.7198*(AA176^3)-1.3229*(AA176^2)+1.3414*AA176-0.0072)&lt;0,0,(0.0239*(AA176^5)-0.2058*(AA176^4)+0.7198*(AA176^3)-1.3229*(AA176^2)+1.3414*AA176-0.0072))))</f>
        <v>0.66134493626159341</v>
      </c>
      <c r="AJ176" s="34">
        <f>T176*AI176</f>
        <v>0.37105228526551332</v>
      </c>
      <c r="AK176" s="516">
        <f t="shared" si="53"/>
        <v>0.37105228526551332</v>
      </c>
      <c r="AL176" s="1100">
        <f>SUM(AK176:AK177)</f>
        <v>0.97145182526551355</v>
      </c>
      <c r="AM176" s="1100">
        <f>AL176-W175</f>
        <v>-7.5398654734479154E-2</v>
      </c>
      <c r="AN176" s="1112">
        <f>AM176/AL176</f>
        <v>-7.7614404310652751E-2</v>
      </c>
      <c r="AO176" s="138">
        <f>IF(ISNA(VLOOKUP(I176,'Efficiency Lookup'!$D$2:$G$35,3,FALSE)),0,VLOOKUP(I176,'Efficiency Lookup'!$D$2:$G$35,3,FALSE))</f>
        <v>0.25</v>
      </c>
      <c r="AP176" s="133">
        <f>U176*AO176</f>
        <v>0.72937425600000028</v>
      </c>
      <c r="AQ176" s="135">
        <f>IF(X176="RR",IF((0.0308*(AA176^5)-0.2562*(AA176^4)+0.8634*(AA176^3)-1.5285*(AA176^2)+1.501*AA176-0.013)&gt;0.7,0.7,IF((0.0308*(AA176^5)-0.2562*(AA176^4)+0.8634*(AA176^3)-1.5285*(AA176^2)+1.501*AA176-0.013)&lt;0,0,(0.0308*(AA176^5)-0.2562*(AA176^4)+0.8634*(AA176^3)-1.5285*(AA176^2)+1.501*AA176-0.013))),IF((0.0152*(AA176^5)-0.131*(AA176^4)+0.4581*(AA176^3)-0.8418*(AA176^2)+0.8536*AA176-0.0046)&gt;0.65,0.65,IF((0.0152*(AA176^5)-0.131*(AA176^4)+0.4581*(AA176^3)-0.8418*(AA176^2)+0.8536*AA176-0.0046)&lt;0,0,(0.0152*(AA176^5)-0.131*(AA176^4)+0.4581*(AA176^3)-0.8418*(AA176^2)+0.8536*AA176-0.0046))))</f>
        <v>0.56565323160026504</v>
      </c>
      <c r="AR176" s="34">
        <f>U176*AQ176</f>
        <v>1.6502916198097566</v>
      </c>
      <c r="AS176" s="400">
        <f>IF(AK176=AF176,MAX(AP176,AR176),IF(AK176=AH176,AP176,AR176))</f>
        <v>1.6502916198097566</v>
      </c>
      <c r="AT176" s="1100">
        <f>SUM(AS176:AS177)</f>
        <v>1.8489745991153685</v>
      </c>
      <c r="AU176" s="1104">
        <f>AT176*AN176</f>
        <v>-0.1435070620958673</v>
      </c>
      <c r="AV176" s="138">
        <f>IF(ISNA(VLOOKUP(I176,'Efficiency Lookup'!$D$2:$G$35,4,FALSE)),0,VLOOKUP(I176,'Efficiency Lookup'!$D$2:$G$35,4,FALSE))</f>
        <v>0.55000000000000004</v>
      </c>
      <c r="AW176" s="133">
        <f>$V176*AV176</f>
        <v>129.88191799440006</v>
      </c>
      <c r="AX176" s="135">
        <f>IF(X176="RR",IF((0.0326*(AA176^5)-0.2806*(AA176^4)+0.9816*(AA176^3)-1.8039*(AA176^2)+1.8292*AA176-0.0098)&gt;0.85,0.85,IF((0.0326*(AA176^5)-0.2806*(AA176^4)+0.9816*(AA176^3)-1.8039*(AA176^2)+1.8292*AA176-0.0098)&lt;0,0,(0.0326*(AA176^5)-0.2806*(AA176^4)+0.9816*(AA176^3)-1.8039*(AA176^2)+1.8292*AA176-0.0098))),IF((0.0304*(AA176^5)-0.2619*(AA176^4)+0.9161*(AA176^3)-1.6837*(AA176^2)+1.7072*AA176-0.0091)&gt;0.8,0.8,IF((0.0304*(AA176^5)-0.2619*(AA176^4)+0.9161*(AA176^3)-1.6837*(AA176^2)+1.7072*AA176-0.0091)&lt;0,0,(0.0304*(AA176^5)-0.2619*(AA176^4)+0.9161*(AA176^3)-1.6837*(AA176^2)+1.7072*AA176-0.0091))))</f>
        <v>0.70867957752169941</v>
      </c>
      <c r="AY176" s="144">
        <f>$V176*AX176</f>
        <v>167.35393231268986</v>
      </c>
      <c r="AZ176" s="400">
        <f>IF(AS176=AP176,AW176,AY176)</f>
        <v>167.35393231268986</v>
      </c>
      <c r="BA176" s="1100">
        <f>SUM(AZ176:AZ177)</f>
        <v>199.5680869203737</v>
      </c>
      <c r="BB176" s="1104">
        <f>BA176*AN176</f>
        <v>-15.489358185741375</v>
      </c>
      <c r="BC176" s="1105">
        <f>AM176</f>
        <v>-7.5398654734479154E-2</v>
      </c>
      <c r="BD176" s="1106">
        <f>AU176</f>
        <v>-0.1435070620958673</v>
      </c>
      <c r="BE176" s="1107">
        <f>BB176</f>
        <v>-15.489358185741375</v>
      </c>
      <c r="BF176" s="14"/>
      <c r="BG176" t="s">
        <v>287</v>
      </c>
    </row>
    <row r="177" spans="1:59" ht="18.600000000000001" customHeight="1" x14ac:dyDescent="0.25">
      <c r="A177" s="10"/>
      <c r="B177" s="11">
        <v>-78.438642999999999</v>
      </c>
      <c r="C177" s="11">
        <v>38.113196000000002</v>
      </c>
      <c r="D177" s="26">
        <v>39.04</v>
      </c>
      <c r="E177" s="1048" t="s">
        <v>289</v>
      </c>
      <c r="F177" s="1015" t="s">
        <v>464</v>
      </c>
      <c r="G177" s="1021" t="s">
        <v>291</v>
      </c>
      <c r="H177" s="1021"/>
      <c r="I177" s="1021"/>
      <c r="J177" s="1048"/>
      <c r="K177" s="11">
        <v>0.63</v>
      </c>
      <c r="L177" s="11"/>
      <c r="M177" s="11">
        <v>0.21</v>
      </c>
      <c r="N177" s="11">
        <v>0.55000000000000004</v>
      </c>
      <c r="O177" s="7">
        <f>+M177/K177</f>
        <v>0.33333333333333331</v>
      </c>
      <c r="P177" s="7">
        <f>+N177/K177</f>
        <v>0.87301587301587313</v>
      </c>
      <c r="Q177" s="8"/>
      <c r="R177" s="8"/>
      <c r="S177" s="8"/>
      <c r="T177" s="8">
        <f>IF(J176="TT",IF(F176="u/g detention",(43*0.9*(0.05+0.9*P177)*0.26*$K177*2.72/12)-AK175,(43*0.9*(0.05+0.9*P177)*0.26*$K177*2.72/12)-AK176),43*0.9*(0.05+0.9*P177)*0.26*$K177*2.72/12)</f>
        <v>1.2007990800000006</v>
      </c>
      <c r="U177" s="8">
        <f>T177*5.2</f>
        <v>6.2441552160000029</v>
      </c>
      <c r="V177" s="8">
        <f>T177*420.9</f>
        <v>505.4163327720002</v>
      </c>
      <c r="W177" s="8"/>
      <c r="X177" s="34" t="s">
        <v>278</v>
      </c>
      <c r="Y177" s="257">
        <v>89</v>
      </c>
      <c r="Z177" s="257">
        <v>0.55000000000000004</v>
      </c>
      <c r="AA177" s="258">
        <f>IF(Y177="NA", 0, (Y177/43560)*12/Z177)</f>
        <v>4.4578011520160284E-2</v>
      </c>
      <c r="AB177" s="742" t="s">
        <v>296</v>
      </c>
      <c r="AC177" s="288">
        <f t="shared" si="52"/>
        <v>0.5</v>
      </c>
      <c r="AD177" s="742">
        <f t="shared" si="51"/>
        <v>0.60039954000000029</v>
      </c>
      <c r="AE177" s="134">
        <f>IF(ISNA(VLOOKUP(H177,'Efficiency Lookup'!$B$2:$C$38,2,FALSE)),0,(VLOOKUP(H177,'Efficiency Lookup'!$B$2:$C$38,2,FALSE)))</f>
        <v>0</v>
      </c>
      <c r="AF177" s="133">
        <f>T177*AE177</f>
        <v>0</v>
      </c>
      <c r="AG177" s="134">
        <f>IF(ISNA(VLOOKUP(I177,'Efficiency Lookup'!$D$2:$E$35,2,FALSE)),0,VLOOKUP(I177,'Efficiency Lookup'!$D$2:$E$35,2,FALSE))</f>
        <v>0</v>
      </c>
      <c r="AH177" s="133">
        <f>T177*AG177</f>
        <v>0</v>
      </c>
      <c r="AI177" s="132">
        <f>IF(X177="RR",IF((0.0304*(AA177^5)-0.2619*(AA177^4)+0.9161*(AA177^3)-1.6837*(AA177^2)+1.7072*AA177-0.0091)&gt;0.85,0.85,IF((0.0304*(AA177^5)-0.2619*(AA177^4)+0.9161*(AA177^3)-1.6837*(AA177^2)+1.7072*AA177-0.0091)&lt;0,0,(0.0304*(AA177^5)-0.2619*(AA177^4)+0.9161*(AA177^3)-1.6837*(AA177^2)+1.7072*AA177-0.0091))),IF((0.0239*(AA177^5)-0.2058*(AA177^4)+0.7198*(AA177^3)-1.3229*(AA177^2)+1.3414*AA177-0.0072)&gt;0.65,0.65,IF((0.0239*(AA177^5)-0.2058*(AA177^4)+0.7198*(AA177^3)-1.3229*(AA177^2)+1.3414*AA177-0.0072)&lt;0,0,(0.0239*(AA177^5)-0.2058*(AA177^4)+0.7198*(AA177^3)-1.3229*(AA177^2)+1.3414*AA177-0.0072))))</f>
        <v>5.0031034220355604E-2</v>
      </c>
      <c r="AJ177" s="133">
        <f>T177*AI177</f>
        <v>6.0077219863251555E-2</v>
      </c>
      <c r="AK177" s="516">
        <f t="shared" si="53"/>
        <v>0.60039954000000029</v>
      </c>
      <c r="AL177" s="1100"/>
      <c r="AM177" s="1100"/>
      <c r="AN177" s="1112"/>
      <c r="AO177" s="138">
        <f>IF(ISNA(VLOOKUP(I177,'Efficiency Lookup'!$D$2:$G$35,3,FALSE)),0,VLOOKUP(I177,'Efficiency Lookup'!$D$2:$G$35,3,FALSE))</f>
        <v>0</v>
      </c>
      <c r="AP177" s="133">
        <f>U177*AO177</f>
        <v>0</v>
      </c>
      <c r="AQ177" s="135">
        <f>IF(X177="RR",IF((0.0308*(AA177^5)-0.2562*(AA177^4)+0.8634*(AA177^3)-1.5285*(AA177^2)+1.501*AA177-0.013)&gt;0.7,0.7,IF((0.0308*(AA177^5)-0.2562*(AA177^4)+0.8634*(AA177^3)-1.5285*(AA177^2)+1.501*AA177-0.013)&lt;0,0,(0.0308*(AA177^5)-0.2562*(AA177^4)+0.8634*(AA177^3)-1.5285*(AA177^2)+1.501*AA177-0.013))),IF((0.0152*(AA177^5)-0.131*(AA177^4)+0.4581*(AA177^3)-0.8418*(AA177^2)+0.8536*AA177-0.0046)&gt;0.65,0.65,IF((0.0152*(AA177^5)-0.131*(AA177^4)+0.4581*(AA177^3)-0.8418*(AA177^2)+0.8536*AA177-0.0046)&lt;0,0,(0.0152*(AA177^5)-0.131*(AA177^4)+0.4581*(AA177^3)-0.8418*(AA177^2)+0.8536*AA177-0.0046))))</f>
        <v>3.1819032748658674E-2</v>
      </c>
      <c r="AR177" s="34">
        <f>U177*AQ177</f>
        <v>0.19868297930561196</v>
      </c>
      <c r="AS177" s="400">
        <f>IF(AK177=AF177,MAX(AP177,AR177),IF(AK177=AH177,AP177,AR177))</f>
        <v>0.19868297930561196</v>
      </c>
      <c r="AT177" s="1100"/>
      <c r="AU177" s="1104"/>
      <c r="AV177" s="138">
        <f>IF(ISNA(VLOOKUP(I177,'Efficiency Lookup'!$D$2:$G$35,4,FALSE)),0,VLOOKUP(I177,'Efficiency Lookup'!$D$2:$G$35,4,FALSE))</f>
        <v>0</v>
      </c>
      <c r="AW177" s="133">
        <f>$V177*AV177</f>
        <v>0</v>
      </c>
      <c r="AX177" s="135">
        <f>IF(X177="RR",IF((0.0326*(AA177^5)-0.2806*(AA177^4)+0.9816*(AA177^3)-1.8039*(AA177^2)+1.8292*AA177-0.0098)&gt;0.85,0.85,IF((0.0326*(AA177^5)-0.2806*(AA177^4)+0.9816*(AA177^3)-1.8039*(AA177^2)+1.8292*AA177-0.0098)&lt;0,0,(0.0326*(AA177^5)-0.2806*(AA177^4)+0.9816*(AA177^3)-1.8039*(AA177^2)+1.8292*AA177-0.0098))),IF((0.0304*(AA177^5)-0.2619*(AA177^4)+0.9161*(AA177^3)-1.6837*(AA177^2)+1.7072*AA177-0.0091)&gt;0.8,0.8,IF((0.0304*(AA177^5)-0.2619*(AA177^4)+0.9161*(AA177^3)-1.6837*(AA177^2)+1.7072*AA177-0.0091)&lt;0,0,(0.0304*(AA177^5)-0.2619*(AA177^4)+0.9161*(AA177^3)-1.6837*(AA177^2)+1.7072*AA177-0.0091))))</f>
        <v>6.3737858313763773E-2</v>
      </c>
      <c r="AY177" s="144">
        <f>$V177*AX177</f>
        <v>32.214154607683831</v>
      </c>
      <c r="AZ177" s="400">
        <f>IF(AK177=AJ177,AY177,IF(AK177=AH177,AW177,IF(AP177=AR177,MAX(AW177,AY177),IF(AS177=AP177,AW177,AY177))))</f>
        <v>32.214154607683831</v>
      </c>
      <c r="BA177" s="1100"/>
      <c r="BB177" s="1104"/>
      <c r="BC177" s="1105"/>
      <c r="BD177" s="1106"/>
      <c r="BE177" s="1107"/>
      <c r="BF177" s="14"/>
      <c r="BG177" t="s">
        <v>287</v>
      </c>
    </row>
    <row r="178" spans="1:59" s="268" customFormat="1" ht="18.600000000000001" customHeight="1" x14ac:dyDescent="0.25">
      <c r="A178" s="269"/>
      <c r="B178" s="281"/>
      <c r="C178" s="281"/>
      <c r="D178" s="281"/>
      <c r="E178" s="262"/>
      <c r="F178" s="262"/>
      <c r="G178" s="262"/>
      <c r="H178" s="263"/>
      <c r="I178" s="263"/>
      <c r="J178" s="262"/>
      <c r="K178" s="271"/>
      <c r="L178" s="271"/>
      <c r="M178" s="271"/>
      <c r="N178" s="271"/>
      <c r="O178" s="273"/>
      <c r="P178" s="273"/>
      <c r="Q178" s="264"/>
      <c r="R178" s="264"/>
      <c r="S178" s="264"/>
      <c r="T178" s="264"/>
      <c r="U178" s="264"/>
      <c r="V178" s="264"/>
      <c r="W178" s="264"/>
      <c r="X178" s="264"/>
      <c r="Y178" s="265"/>
      <c r="Z178" s="265"/>
      <c r="AA178" s="264"/>
      <c r="AB178" s="743" t="s">
        <v>297</v>
      </c>
      <c r="AC178" s="751" t="str">
        <f t="shared" si="52"/>
        <v/>
      </c>
      <c r="AD178" s="303" t="str">
        <f t="shared" si="51"/>
        <v/>
      </c>
      <c r="AE178" s="274"/>
      <c r="AF178" s="266"/>
      <c r="AG178" s="303"/>
      <c r="AH178" s="274"/>
      <c r="AI178" s="303"/>
      <c r="AJ178" s="274"/>
      <c r="AK178" s="328" t="str">
        <f t="shared" si="53"/>
        <v/>
      </c>
      <c r="AO178" s="329"/>
      <c r="AP178" s="303"/>
      <c r="AQ178" s="303"/>
      <c r="AR178" s="303"/>
      <c r="AS178" s="326"/>
      <c r="AU178" s="267"/>
      <c r="AV178" s="329"/>
      <c r="AW178" s="303"/>
      <c r="AX178" s="303"/>
      <c r="AY178" s="285"/>
      <c r="AZ178" s="587"/>
      <c r="BA178" s="264"/>
      <c r="BB178" s="331"/>
      <c r="BE178" s="331"/>
      <c r="BF178" s="277"/>
    </row>
    <row r="179" spans="1:59" ht="18.600000000000001" customHeight="1" x14ac:dyDescent="0.25">
      <c r="A179" s="11" t="s">
        <v>465</v>
      </c>
      <c r="B179" s="11"/>
      <c r="C179" s="11"/>
      <c r="D179" s="1111" t="s">
        <v>271</v>
      </c>
      <c r="E179" s="1116"/>
      <c r="F179" s="1019"/>
      <c r="G179" s="1019"/>
      <c r="H179" s="1021"/>
      <c r="I179" s="1021"/>
      <c r="J179" s="1019"/>
      <c r="K179" s="11">
        <v>53.9</v>
      </c>
      <c r="L179" s="11"/>
      <c r="M179" s="11">
        <v>0</v>
      </c>
      <c r="N179" s="9">
        <v>19.2</v>
      </c>
      <c r="O179" s="7">
        <f>+M179/K179</f>
        <v>0</v>
      </c>
      <c r="P179" s="7">
        <f>+N179/K179</f>
        <v>0.35621521335807049</v>
      </c>
      <c r="Q179" s="8">
        <f>43*0.9*(0.05+0.9*0.16)*0.26*$K179*2.72/12</f>
        <v>23.848576752000003</v>
      </c>
      <c r="R179" s="39">
        <f>43*0.9*(0.05+0.9*O179)*0.26*$K179*2.72/12</f>
        <v>6.1465404000000019</v>
      </c>
      <c r="S179" s="8">
        <f>IF(J179="R",R179,Q179)</f>
        <v>23.848576752000003</v>
      </c>
      <c r="T179" s="8">
        <f>43*0.9*(0.05+0.9*P179)*0.26*$K179*2.72/12</f>
        <v>45.557382000000011</v>
      </c>
      <c r="U179" s="8">
        <f>T179*5.2</f>
        <v>236.89838640000008</v>
      </c>
      <c r="V179" s="8">
        <f>T179*420.9</f>
        <v>19175.102083800004</v>
      </c>
      <c r="W179" s="8">
        <f>IF(P179 &lt; 16%, 0, IF(K179 &lt; 1, 0, T179-S179))</f>
        <v>21.708805248000008</v>
      </c>
      <c r="X179" s="8"/>
      <c r="Y179" s="257"/>
      <c r="Z179" s="257"/>
      <c r="AA179" s="258"/>
      <c r="AB179" s="742" t="s">
        <v>297</v>
      </c>
      <c r="AC179" s="750" t="str">
        <f t="shared" si="52"/>
        <v/>
      </c>
      <c r="AD179" s="39" t="str">
        <f t="shared" si="51"/>
        <v/>
      </c>
      <c r="AE179" s="133"/>
      <c r="AF179" s="34"/>
      <c r="AG179" s="39"/>
      <c r="AH179" s="133"/>
      <c r="AI179" s="39"/>
      <c r="AJ179" s="133"/>
      <c r="AK179" s="327" t="str">
        <f t="shared" si="53"/>
        <v/>
      </c>
      <c r="AO179" s="589"/>
      <c r="AP179" s="39"/>
      <c r="AQ179" s="39"/>
      <c r="AR179" s="39"/>
      <c r="AS179" s="306"/>
      <c r="AU179" s="28"/>
      <c r="AV179" s="589"/>
      <c r="AW179" s="39"/>
      <c r="AX179" s="39"/>
      <c r="AY179" s="136"/>
      <c r="AZ179" s="146"/>
      <c r="BA179" s="8"/>
      <c r="BB179" s="143"/>
      <c r="BE179" s="143"/>
      <c r="BF179" s="14" t="s">
        <v>466</v>
      </c>
      <c r="BG179" t="s">
        <v>467</v>
      </c>
    </row>
    <row r="180" spans="1:59" ht="18.600000000000001" customHeight="1" x14ac:dyDescent="0.25">
      <c r="A180" s="1119" t="s">
        <v>468</v>
      </c>
      <c r="B180" s="11">
        <v>-78.442802</v>
      </c>
      <c r="C180" s="11">
        <v>38.033940000000001</v>
      </c>
      <c r="D180" s="26">
        <v>1</v>
      </c>
      <c r="E180" s="1048" t="s">
        <v>274</v>
      </c>
      <c r="F180" s="1015" t="s">
        <v>275</v>
      </c>
      <c r="G180" s="1015"/>
      <c r="H180" s="1021" t="s">
        <v>276</v>
      </c>
      <c r="I180" s="1021" t="s">
        <v>277</v>
      </c>
      <c r="J180" s="1048"/>
      <c r="K180" s="11">
        <v>58.93</v>
      </c>
      <c r="L180" s="11"/>
      <c r="M180" s="11">
        <v>11.43</v>
      </c>
      <c r="N180" s="11">
        <v>24.06</v>
      </c>
      <c r="O180" s="7">
        <f>+M180/K180</f>
        <v>0.19395893432886474</v>
      </c>
      <c r="P180" s="7">
        <f>+N180/K180</f>
        <v>0.40828101136942135</v>
      </c>
      <c r="Q180" s="8"/>
      <c r="R180" s="8"/>
      <c r="S180" s="8"/>
      <c r="T180" s="8">
        <f>IF(J179="TT",IF(F179="u/g detention",(43*0.9*(0.05+0.9*P180)*0.26*$K180*2.72/12)-AK178,(43*0.9*(0.05+0.9*P180)*0.26*$K180*2.72/12)-AK179),43*0.9*(0.05+0.9*P180)*0.26*$K180*2.72/12)</f>
        <v>56.106852360000005</v>
      </c>
      <c r="U180" s="8">
        <f>T180*5.2</f>
        <v>291.75563227200001</v>
      </c>
      <c r="V180" s="8">
        <f>T180*420.9</f>
        <v>23615.374158324001</v>
      </c>
      <c r="W180" s="8"/>
      <c r="X180" s="36" t="s">
        <v>278</v>
      </c>
      <c r="Y180" s="257" t="s">
        <v>295</v>
      </c>
      <c r="Z180" s="257" t="s">
        <v>295</v>
      </c>
      <c r="AA180" s="258">
        <f>IF(Y180="NA", 0, (Y180/43560)*12/Z180)</f>
        <v>0</v>
      </c>
      <c r="AB180" s="742" t="s">
        <v>296</v>
      </c>
      <c r="AC180" s="134" t="str">
        <f t="shared" si="52"/>
        <v>NA</v>
      </c>
      <c r="AD180" s="741">
        <f t="shared" si="51"/>
        <v>0</v>
      </c>
      <c r="AE180" s="135">
        <f>IF(ISNA(VLOOKUP(H180,'Efficiency Lookup'!$B$2:$C$38,2,FALSE)),0,(VLOOKUP(H180,'Efficiency Lookup'!$B$2:$C$38,2,FALSE)))</f>
        <v>0.65</v>
      </c>
      <c r="AF180" s="34">
        <f>T180*AE180</f>
        <v>36.469454034000002</v>
      </c>
      <c r="AG180" s="134">
        <f>IF(ISNA(VLOOKUP(I180,'Efficiency Lookup'!$D$2:$E$35,2,FALSE)),0,VLOOKUP(I180,'Efficiency Lookup'!$D$2:$E$35,2,FALSE))</f>
        <v>0.45</v>
      </c>
      <c r="AH180" s="133">
        <f>T180*AG180</f>
        <v>25.248083562000001</v>
      </c>
      <c r="AI180" s="132">
        <f>IF(X180="RR",IF((0.0304*(AA180^5)-0.2619*(AA180^4)+0.9161*(AA180^3)-1.6837*(AA180^2)+1.7072*AA180-0.0091)&gt;0.85,0.85,IF((0.0304*(AA180^5)-0.2619*(AA180^4)+0.9161*(AA180^3)-1.6837*(AA180^2)+1.7072*AA180-0.0091)&lt;0,0,(0.0304*(AA180^5)-0.2619*(AA180^4)+0.9161*(AA180^3)-1.6837*(AA180^2)+1.7072*AA180-0.0091))),IF((0.0239*(AA180^5)-0.2058*(AA180^4)+0.7198*(AA180^3)-1.3229*(AA180^2)+1.3414*AA180-0.0072)&gt;0.65,0.65,IF((0.0239*(AA180^5)-0.2058*(AA180^4)+0.7198*(AA180^3)-1.3229*(AA180^2)+1.3414*AA180-0.0072)&lt;0,0,(0.0239*(AA180^5)-0.2058*(AA180^4)+0.7198*(AA180^3)-1.3229*(AA180^2)+1.3414*AA180-0.0072))))</f>
        <v>0</v>
      </c>
      <c r="AJ180" s="133">
        <f>T180*AI180</f>
        <v>0</v>
      </c>
      <c r="AK180" s="516">
        <f t="shared" si="53"/>
        <v>36.469454034000002</v>
      </c>
      <c r="AL180" s="1100">
        <f>SUM(AK180:AK182)</f>
        <v>59.440295694</v>
      </c>
      <c r="AM180" s="1100">
        <f>AL180-W179</f>
        <v>37.731490445999995</v>
      </c>
      <c r="AN180" s="1112">
        <f>AM180/AL180</f>
        <v>0.63477965587928042</v>
      </c>
      <c r="AO180" s="147">
        <f>IF(ISNA(VLOOKUP(I180,'Efficiency Lookup'!$D$2:$G$35,3,FALSE)),0,VLOOKUP(I180,'Efficiency Lookup'!$D$2:$G$35,3,FALSE))</f>
        <v>0.2</v>
      </c>
      <c r="AP180" s="34">
        <f>U180*AO180</f>
        <v>58.351126454400003</v>
      </c>
      <c r="AQ180" s="134">
        <f>IF(X180="RR",IF((0.0308*(AA180^5)-0.2562*(AA180^4)+0.8634*(AA180^3)-1.5285*(AA180^2)+1.501*AA180-0.013)&gt;0.7,0.7,IF((0.0308*(AA180^5)-0.2562*(AA180^4)+0.8634*(AA180^3)-1.5285*(AA180^2)+1.501*AA180-0.013)&lt;0,0,(0.0308*(AA180^5)-0.2562*(AA180^4)+0.8634*(AA180^3)-1.5285*(AA180^2)+1.501*AA180-0.013))),IF((0.0152*(AA180^5)-0.131*(AA180^4)+0.4581*(AA180^3)-0.8418*(AA180^2)+0.8536*AA180-0.0046)&gt;0.65,0.65,IF((0.0152*(AA180^5)-0.131*(AA180^4)+0.4581*(AA180^3)-0.8418*(AA180^2)+0.8536*AA180-0.0046)&lt;0,0,(0.0152*(AA180^5)-0.131*(AA180^4)+0.4581*(AA180^3)-0.8418*(AA180^2)+0.8536*AA180-0.0046))))</f>
        <v>0</v>
      </c>
      <c r="AR180" s="133">
        <f>U180*AQ180</f>
        <v>0</v>
      </c>
      <c r="AS180" s="400">
        <f>IF(AK180=AF180,MAX(AP180,AR180),IF(AK180=AH180,AP180,AR180))</f>
        <v>58.351126454400003</v>
      </c>
      <c r="AT180" s="1100">
        <f>SUM(AS180:AS182)</f>
        <v>95.104473110400008</v>
      </c>
      <c r="AU180" s="1104">
        <f>AT180*AN180</f>
        <v>60.370384713599996</v>
      </c>
      <c r="AV180" s="147">
        <f>IF(ISNA(VLOOKUP(I180,'Efficiency Lookup'!$D$2:$G$35,4,FALSE)),0,VLOOKUP(I180,'Efficiency Lookup'!$D$2:$G$35,4,FALSE))</f>
        <v>0.6</v>
      </c>
      <c r="AW180" s="34">
        <f>$V180*AV180</f>
        <v>14169.2244949944</v>
      </c>
      <c r="AX180" s="134">
        <f>IF(X180="RR",IF((0.0326*(AA180^5)-0.2806*(AA180^4)+0.9816*(AA180^3)-1.8039*(AA180^2)+1.8292*AA180-0.0098)&gt;0.85,0.85,IF((0.0326*(AA180^5)-0.2806*(AA180^4)+0.9816*(AA180^3)-1.8039*(AA180^2)+1.8292*AA180-0.0098)&lt;0,0,(0.0326*(AA180^5)-0.2806*(AA180^4)+0.9816*(AA180^3)-1.8039*(AA180^2)+1.8292*AA180-0.0098))),IF((0.0304*(AA180^5)-0.2619*(AA180^4)+0.9161*(AA180^3)-1.6837*(AA180^2)+1.7072*AA180-0.0091)&gt;0.8,0.8,IF((0.0304*(AA180^5)-0.2619*(AA180^4)+0.9161*(AA180^3)-1.6837*(AA180^2)+1.7072*AA180-0.0091)&lt;0,0,(0.0304*(AA180^5)-0.2619*(AA180^4)+0.9161*(AA180^3)-1.6837*(AA180^2)+1.7072*AA180-0.0091))))</f>
        <v>0</v>
      </c>
      <c r="AY180" s="137">
        <f>$V180*AX180</f>
        <v>0</v>
      </c>
      <c r="AZ180" s="400">
        <f>IF(AS180=AP180,AW180,AY180)</f>
        <v>14169.2244949944</v>
      </c>
      <c r="BA180" s="1100">
        <f>SUM(AZ180:AZ182)</f>
        <v>23093.926576250396</v>
      </c>
      <c r="BB180" s="1104">
        <f>BA180*AN180</f>
        <v>14659.554764973596</v>
      </c>
      <c r="BC180" s="1105">
        <f>AM180</f>
        <v>37.731490445999995</v>
      </c>
      <c r="BD180" s="1106">
        <f>AU180</f>
        <v>60.370384713599996</v>
      </c>
      <c r="BE180" s="1107">
        <f>BB180</f>
        <v>14659.554764973596</v>
      </c>
      <c r="BF180" s="14"/>
      <c r="BG180" t="s">
        <v>469</v>
      </c>
    </row>
    <row r="181" spans="1:59" ht="18.600000000000001" customHeight="1" x14ac:dyDescent="0.25">
      <c r="A181" s="1119"/>
      <c r="B181" s="11">
        <v>-78.440331</v>
      </c>
      <c r="C181" s="11">
        <v>38.033633999999999</v>
      </c>
      <c r="D181" s="26">
        <v>1</v>
      </c>
      <c r="E181" s="1048" t="s">
        <v>274</v>
      </c>
      <c r="F181" s="1015" t="s">
        <v>275</v>
      </c>
      <c r="G181" s="1015"/>
      <c r="H181" s="1021" t="s">
        <v>276</v>
      </c>
      <c r="I181" s="1021" t="s">
        <v>277</v>
      </c>
      <c r="J181" s="1048"/>
      <c r="K181" s="11">
        <v>13.69</v>
      </c>
      <c r="L181" s="11"/>
      <c r="M181" s="11">
        <v>0</v>
      </c>
      <c r="N181" s="11">
        <v>3.48</v>
      </c>
      <c r="O181" s="7">
        <f>+M181/K181</f>
        <v>0</v>
      </c>
      <c r="P181" s="7">
        <f>+N181/K181</f>
        <v>0.254200146092038</v>
      </c>
      <c r="Q181" s="8"/>
      <c r="R181" s="8"/>
      <c r="S181" s="8"/>
      <c r="T181" s="8">
        <f>IF(J180="TT",IF(F180="u/g detention",(43*0.9*(0.05+0.9*P181)*0.26*$K181*2.72/12)-AK179,(43*0.9*(0.05+0.9*P181)*0.26*$K181*2.72/12)-AK180),43*0.9*(0.05+0.9*P181)*0.26*$K181*2.72/12)</f>
        <v>8.7043678800000013</v>
      </c>
      <c r="U181" s="8">
        <f>T181*5.2</f>
        <v>45.26271297600001</v>
      </c>
      <c r="V181" s="8">
        <f>T181*420.9</f>
        <v>3663.6684406920003</v>
      </c>
      <c r="W181" s="8"/>
      <c r="X181" s="36" t="s">
        <v>278</v>
      </c>
      <c r="Y181" s="257" t="s">
        <v>295</v>
      </c>
      <c r="Z181" s="257" t="s">
        <v>295</v>
      </c>
      <c r="AA181" s="258">
        <f>IF(Y181="NA", 0, (Y181/43560)*12/Z181)</f>
        <v>0</v>
      </c>
      <c r="AB181" s="742" t="s">
        <v>470</v>
      </c>
      <c r="AC181" s="134" t="str">
        <f t="shared" si="52"/>
        <v>NA</v>
      </c>
      <c r="AD181" s="741">
        <f t="shared" si="51"/>
        <v>0</v>
      </c>
      <c r="AE181" s="135">
        <f>IF(ISNA(VLOOKUP(H181,'Efficiency Lookup'!$B$2:$C$38,2,FALSE)),0,(VLOOKUP(H181,'Efficiency Lookup'!$B$2:$C$38,2,FALSE)))</f>
        <v>0.65</v>
      </c>
      <c r="AF181" s="34">
        <f>T181*AE181</f>
        <v>5.6578391220000013</v>
      </c>
      <c r="AG181" s="134">
        <f>IF(ISNA(VLOOKUP(I181,'Efficiency Lookup'!$D$2:$E$35,2,FALSE)),0,VLOOKUP(I181,'Efficiency Lookup'!$D$2:$E$35,2,FALSE))</f>
        <v>0.45</v>
      </c>
      <c r="AH181" s="133">
        <f>T181*AG181</f>
        <v>3.9169655460000006</v>
      </c>
      <c r="AI181" s="132">
        <f>IF(X181="RR",IF((0.0304*(AA181^5)-0.2619*(AA181^4)+0.9161*(AA181^3)-1.6837*(AA181^2)+1.7072*AA181-0.0091)&gt;0.85,0.85,IF((0.0304*(AA181^5)-0.2619*(AA181^4)+0.9161*(AA181^3)-1.6837*(AA181^2)+1.7072*AA181-0.0091)&lt;0,0,(0.0304*(AA181^5)-0.2619*(AA181^4)+0.9161*(AA181^3)-1.6837*(AA181^2)+1.7072*AA181-0.0091))),IF((0.0239*(AA181^5)-0.2058*(AA181^4)+0.7198*(AA181^3)-1.3229*(AA181^2)+1.3414*AA181-0.0072)&gt;0.65,0.65,IF((0.0239*(AA181^5)-0.2058*(AA181^4)+0.7198*(AA181^3)-1.3229*(AA181^2)+1.3414*AA181-0.0072)&lt;0,0,(0.0239*(AA181^5)-0.2058*(AA181^4)+0.7198*(AA181^3)-1.3229*(AA181^2)+1.3414*AA181-0.0072))))</f>
        <v>0</v>
      </c>
      <c r="AJ181" s="133">
        <f>T181*AI181</f>
        <v>0</v>
      </c>
      <c r="AK181" s="516">
        <f t="shared" si="53"/>
        <v>5.6578391220000013</v>
      </c>
      <c r="AL181" s="1100"/>
      <c r="AM181" s="1100"/>
      <c r="AN181" s="1112"/>
      <c r="AO181" s="147">
        <f>IF(ISNA(VLOOKUP(I181,'Efficiency Lookup'!$D$2:$G$35,3,FALSE)),0,VLOOKUP(I181,'Efficiency Lookup'!$D$2:$G$35,3,FALSE))</f>
        <v>0.2</v>
      </c>
      <c r="AP181" s="34">
        <f>U181*AO181</f>
        <v>9.052542595200002</v>
      </c>
      <c r="AQ181" s="134">
        <f>IF(X181="RR",IF((0.0308*(AA181^5)-0.2562*(AA181^4)+0.8634*(AA181^3)-1.5285*(AA181^2)+1.501*AA181-0.013)&gt;0.7,0.7,IF((0.0308*(AA181^5)-0.2562*(AA181^4)+0.8634*(AA181^3)-1.5285*(AA181^2)+1.501*AA181-0.013)&lt;0,0,(0.0308*(AA181^5)-0.2562*(AA181^4)+0.8634*(AA181^3)-1.5285*(AA181^2)+1.501*AA181-0.013))),IF((0.0152*(AA181^5)-0.131*(AA181^4)+0.4581*(AA181^3)-0.8418*(AA181^2)+0.8536*AA181-0.0046)&gt;0.65,0.65,IF((0.0152*(AA181^5)-0.131*(AA181^4)+0.4581*(AA181^3)-0.8418*(AA181^2)+0.8536*AA181-0.0046)&lt;0,0,(0.0152*(AA181^5)-0.131*(AA181^4)+0.4581*(AA181^3)-0.8418*(AA181^2)+0.8536*AA181-0.0046))))</f>
        <v>0</v>
      </c>
      <c r="AR181" s="133">
        <f>U181*AQ181</f>
        <v>0</v>
      </c>
      <c r="AS181" s="400">
        <f>IF(AK181=AF181,MAX(AP181,AR181),IF(AK181=AH181,AP181,AR181))</f>
        <v>9.052542595200002</v>
      </c>
      <c r="AT181" s="1100"/>
      <c r="AU181" s="1104"/>
      <c r="AV181" s="147">
        <f>IF(ISNA(VLOOKUP(I181,'Efficiency Lookup'!$D$2:$G$35,4,FALSE)),0,VLOOKUP(I181,'Efficiency Lookup'!$D$2:$G$35,4,FALSE))</f>
        <v>0.6</v>
      </c>
      <c r="AW181" s="34">
        <f>$V181*AV181</f>
        <v>2198.2010644152001</v>
      </c>
      <c r="AX181" s="134">
        <f>IF(X181="RR",IF((0.0326*(AA181^5)-0.2806*(AA181^4)+0.9816*(AA181^3)-1.8039*(AA181^2)+1.8292*AA181-0.0098)&gt;0.85,0.85,IF((0.0326*(AA181^5)-0.2806*(AA181^4)+0.9816*(AA181^3)-1.8039*(AA181^2)+1.8292*AA181-0.0098)&lt;0,0,(0.0326*(AA181^5)-0.2806*(AA181^4)+0.9816*(AA181^3)-1.8039*(AA181^2)+1.8292*AA181-0.0098))),IF((0.0304*(AA181^5)-0.2619*(AA181^4)+0.9161*(AA181^3)-1.6837*(AA181^2)+1.7072*AA181-0.0091)&gt;0.8,0.8,IF((0.0304*(AA181^5)-0.2619*(AA181^4)+0.9161*(AA181^3)-1.6837*(AA181^2)+1.7072*AA181-0.0091)&lt;0,0,(0.0304*(AA181^5)-0.2619*(AA181^4)+0.9161*(AA181^3)-1.6837*(AA181^2)+1.7072*AA181-0.0091))))</f>
        <v>0</v>
      </c>
      <c r="AY181" s="137">
        <f>$V181*AX181</f>
        <v>0</v>
      </c>
      <c r="AZ181" s="400">
        <f>IF(AS181=AP181,AW181,AY181)</f>
        <v>2198.2010644152001</v>
      </c>
      <c r="BA181" s="1100"/>
      <c r="BB181" s="1104"/>
      <c r="BC181" s="1105"/>
      <c r="BD181" s="1106"/>
      <c r="BE181" s="1107"/>
      <c r="BF181" s="14"/>
      <c r="BG181" t="s">
        <v>287</v>
      </c>
    </row>
    <row r="182" spans="1:59" ht="18.600000000000001" customHeight="1" x14ac:dyDescent="0.25">
      <c r="A182" s="5"/>
      <c r="B182" s="11">
        <v>-78.438137999999995</v>
      </c>
      <c r="C182" s="11">
        <v>38.032268999999999</v>
      </c>
      <c r="D182" s="26">
        <v>1</v>
      </c>
      <c r="E182" s="1048" t="s">
        <v>274</v>
      </c>
      <c r="F182" s="1015" t="s">
        <v>275</v>
      </c>
      <c r="G182" s="1015"/>
      <c r="H182" s="1021" t="s">
        <v>276</v>
      </c>
      <c r="I182" s="1021" t="s">
        <v>277</v>
      </c>
      <c r="J182" s="1048"/>
      <c r="K182" s="11">
        <v>38.270000000000003</v>
      </c>
      <c r="L182" s="11"/>
      <c r="M182" s="11">
        <v>5.27</v>
      </c>
      <c r="N182" s="11">
        <v>10.85</v>
      </c>
      <c r="O182" s="7">
        <f>+M182/K182</f>
        <v>0.13770577475829629</v>
      </c>
      <c r="P182" s="7">
        <f>+N182/K182</f>
        <v>0.2835118892082571</v>
      </c>
      <c r="Q182" s="8"/>
      <c r="R182" s="8"/>
      <c r="S182" s="8"/>
      <c r="T182" s="8">
        <f>IF(J181="TT",IF(F181="u/g detention",(43*0.9*(0.05+0.9*P182)*0.26*$K182*2.72/12)-AK180,(43*0.9*(0.05+0.9*P182)*0.26*$K182*2.72/12)-AK181),43*0.9*(0.05+0.9*P182)*0.26*$K182*2.72/12)</f>
        <v>26.635388519999996</v>
      </c>
      <c r="U182" s="8">
        <f>T182*5.2</f>
        <v>138.50402030399999</v>
      </c>
      <c r="V182" s="8">
        <f>T182*420.9</f>
        <v>11210.835028067997</v>
      </c>
      <c r="W182" s="8"/>
      <c r="X182" s="36" t="s">
        <v>278</v>
      </c>
      <c r="Y182" s="257" t="s">
        <v>295</v>
      </c>
      <c r="Z182" s="257" t="s">
        <v>295</v>
      </c>
      <c r="AA182" s="258">
        <f>IF(Y182="NA", 0, (Y182/43560)*12/Z182)</f>
        <v>0</v>
      </c>
      <c r="AB182" s="742" t="s">
        <v>296</v>
      </c>
      <c r="AC182" s="134" t="str">
        <f t="shared" si="52"/>
        <v>NA</v>
      </c>
      <c r="AD182" s="741">
        <f t="shared" si="51"/>
        <v>0</v>
      </c>
      <c r="AE182" s="135">
        <f>IF(ISNA(VLOOKUP(H182,'Efficiency Lookup'!$B$2:$C$38,2,FALSE)),0,(VLOOKUP(H182,'Efficiency Lookup'!$B$2:$C$38,2,FALSE)))</f>
        <v>0.65</v>
      </c>
      <c r="AF182" s="34">
        <f>T182*AE182</f>
        <v>17.313002537999999</v>
      </c>
      <c r="AG182" s="134">
        <f>IF(ISNA(VLOOKUP(I182,'Efficiency Lookup'!$D$2:$E$35,2,FALSE)),0,VLOOKUP(I182,'Efficiency Lookup'!$D$2:$E$35,2,FALSE))</f>
        <v>0.45</v>
      </c>
      <c r="AH182" s="133">
        <f>T182*AG182</f>
        <v>11.985924833999999</v>
      </c>
      <c r="AI182" s="132">
        <f>IF(X182="RR",IF((0.0304*(AA182^5)-0.2619*(AA182^4)+0.9161*(AA182^3)-1.6837*(AA182^2)+1.7072*AA182-0.0091)&gt;0.85,0.85,IF((0.0304*(AA182^5)-0.2619*(AA182^4)+0.9161*(AA182^3)-1.6837*(AA182^2)+1.7072*AA182-0.0091)&lt;0,0,(0.0304*(AA182^5)-0.2619*(AA182^4)+0.9161*(AA182^3)-1.6837*(AA182^2)+1.7072*AA182-0.0091))),IF((0.0239*(AA182^5)-0.2058*(AA182^4)+0.7198*(AA182^3)-1.3229*(AA182^2)+1.3414*AA182-0.0072)&gt;0.65,0.65,IF((0.0239*(AA182^5)-0.2058*(AA182^4)+0.7198*(AA182^3)-1.3229*(AA182^2)+1.3414*AA182-0.0072)&lt;0,0,(0.0239*(AA182^5)-0.2058*(AA182^4)+0.7198*(AA182^3)-1.3229*(AA182^2)+1.3414*AA182-0.0072))))</f>
        <v>0</v>
      </c>
      <c r="AJ182" s="133">
        <f>T182*AI182</f>
        <v>0</v>
      </c>
      <c r="AK182" s="516">
        <f t="shared" si="53"/>
        <v>17.313002537999999</v>
      </c>
      <c r="AL182" s="1100"/>
      <c r="AM182" s="1100"/>
      <c r="AN182" s="1112"/>
      <c r="AO182" s="147">
        <f>IF(ISNA(VLOOKUP(I182,'Efficiency Lookup'!$D$2:$G$35,3,FALSE)),0,VLOOKUP(I182,'Efficiency Lookup'!$D$2:$G$35,3,FALSE))</f>
        <v>0.2</v>
      </c>
      <c r="AP182" s="34">
        <f>U182*AO182</f>
        <v>27.700804060799999</v>
      </c>
      <c r="AQ182" s="134">
        <f>IF(X182="RR",IF((0.0308*(AA182^5)-0.2562*(AA182^4)+0.8634*(AA182^3)-1.5285*(AA182^2)+1.501*AA182-0.013)&gt;0.7,0.7,IF((0.0308*(AA182^5)-0.2562*(AA182^4)+0.8634*(AA182^3)-1.5285*(AA182^2)+1.501*AA182-0.013)&lt;0,0,(0.0308*(AA182^5)-0.2562*(AA182^4)+0.8634*(AA182^3)-1.5285*(AA182^2)+1.501*AA182-0.013))),IF((0.0152*(AA182^5)-0.131*(AA182^4)+0.4581*(AA182^3)-0.8418*(AA182^2)+0.8536*AA182-0.0046)&gt;0.65,0.65,IF((0.0152*(AA182^5)-0.131*(AA182^4)+0.4581*(AA182^3)-0.8418*(AA182^2)+0.8536*AA182-0.0046)&lt;0,0,(0.0152*(AA182^5)-0.131*(AA182^4)+0.4581*(AA182^3)-0.8418*(AA182^2)+0.8536*AA182-0.0046))))</f>
        <v>0</v>
      </c>
      <c r="AR182" s="133">
        <f>U182*AQ182</f>
        <v>0</v>
      </c>
      <c r="AS182" s="400">
        <f>IF(AK182=AF182,MAX(AP182,AR182),IF(AK182=AH182,AP182,AR182))</f>
        <v>27.700804060799999</v>
      </c>
      <c r="AT182" s="1100"/>
      <c r="AU182" s="1104"/>
      <c r="AV182" s="147">
        <f>IF(ISNA(VLOOKUP(I182,'Efficiency Lookup'!$D$2:$G$35,4,FALSE)),0,VLOOKUP(I182,'Efficiency Lookup'!$D$2:$G$35,4,FALSE))</f>
        <v>0.6</v>
      </c>
      <c r="AW182" s="34">
        <f>$V182*AV182</f>
        <v>6726.501016840798</v>
      </c>
      <c r="AX182" s="134">
        <f>IF(X182="RR",IF((0.0326*(AA182^5)-0.2806*(AA182^4)+0.9816*(AA182^3)-1.8039*(AA182^2)+1.8292*AA182-0.0098)&gt;0.85,0.85,IF((0.0326*(AA182^5)-0.2806*(AA182^4)+0.9816*(AA182^3)-1.8039*(AA182^2)+1.8292*AA182-0.0098)&lt;0,0,(0.0326*(AA182^5)-0.2806*(AA182^4)+0.9816*(AA182^3)-1.8039*(AA182^2)+1.8292*AA182-0.0098))),IF((0.0304*(AA182^5)-0.2619*(AA182^4)+0.9161*(AA182^3)-1.6837*(AA182^2)+1.7072*AA182-0.0091)&gt;0.8,0.8,IF((0.0304*(AA182^5)-0.2619*(AA182^4)+0.9161*(AA182^3)-1.6837*(AA182^2)+1.7072*AA182-0.0091)&lt;0,0,(0.0304*(AA182^5)-0.2619*(AA182^4)+0.9161*(AA182^3)-1.6837*(AA182^2)+1.7072*AA182-0.0091))))</f>
        <v>0</v>
      </c>
      <c r="AY182" s="137">
        <f>$V182*AX182</f>
        <v>0</v>
      </c>
      <c r="AZ182" s="400">
        <f>IF(AS182=AP182,AW182,AY182)</f>
        <v>6726.501016840798</v>
      </c>
      <c r="BA182" s="1100"/>
      <c r="BB182" s="1104"/>
      <c r="BC182" s="1105"/>
      <c r="BD182" s="1106"/>
      <c r="BE182" s="1107"/>
      <c r="BF182" s="14"/>
      <c r="BG182" t="s">
        <v>471</v>
      </c>
    </row>
    <row r="183" spans="1:59" s="268" customFormat="1" ht="18.600000000000001" customHeight="1" x14ac:dyDescent="0.25">
      <c r="B183" s="271"/>
      <c r="C183" s="271"/>
      <c r="G183" s="277"/>
      <c r="H183" s="263"/>
      <c r="I183" s="263"/>
      <c r="Q183" s="264"/>
      <c r="S183" s="264"/>
      <c r="T183" s="264"/>
      <c r="U183" s="264"/>
      <c r="V183" s="264"/>
      <c r="W183" s="264"/>
      <c r="X183" s="264"/>
      <c r="Y183" s="265"/>
      <c r="Z183" s="265"/>
      <c r="AA183" s="264"/>
      <c r="AB183" s="743" t="s">
        <v>297</v>
      </c>
      <c r="AC183" s="751" t="str">
        <f t="shared" si="52"/>
        <v/>
      </c>
      <c r="AD183" s="303" t="str">
        <f t="shared" si="51"/>
        <v/>
      </c>
      <c r="AE183" s="274"/>
      <c r="AF183" s="266"/>
      <c r="AG183" s="303"/>
      <c r="AH183" s="274"/>
      <c r="AI183" s="303"/>
      <c r="AJ183" s="274"/>
      <c r="AK183" s="325" t="str">
        <f t="shared" si="53"/>
        <v/>
      </c>
      <c r="AO183" s="329"/>
      <c r="AP183" s="303"/>
      <c r="AQ183" s="274"/>
      <c r="AR183" s="274"/>
      <c r="AS183" s="326"/>
      <c r="AV183" s="329"/>
      <c r="AW183" s="303"/>
      <c r="AX183" s="274"/>
      <c r="AY183" s="275"/>
      <c r="AZ183" s="326"/>
      <c r="BB183" s="331"/>
      <c r="BE183" s="331"/>
    </row>
    <row r="184" spans="1:59" ht="18.600000000000001" customHeight="1" x14ac:dyDescent="0.25">
      <c r="A184" s="11" t="s">
        <v>472</v>
      </c>
      <c r="B184" s="11"/>
      <c r="C184" s="11"/>
      <c r="D184" s="1111" t="s">
        <v>271</v>
      </c>
      <c r="E184" s="1116"/>
      <c r="F184" s="1019"/>
      <c r="G184" s="1019"/>
      <c r="H184" s="1021"/>
      <c r="I184" s="1021"/>
      <c r="J184" s="1019"/>
      <c r="K184" s="11">
        <v>2.44</v>
      </c>
      <c r="L184" s="11"/>
      <c r="M184" s="11">
        <v>0</v>
      </c>
      <c r="N184" s="9">
        <v>1.38</v>
      </c>
      <c r="O184" s="7">
        <f>+M184/K184</f>
        <v>0</v>
      </c>
      <c r="P184" s="7">
        <f>+N184/K184</f>
        <v>0.56557377049180324</v>
      </c>
      <c r="Q184" s="8">
        <f>43*0.9*(0.05+0.9*0.16)*0.26*$K184*2.72/12</f>
        <v>1.0796016192000002</v>
      </c>
      <c r="R184" s="39">
        <f>43*0.9*(0.05+0.9*O184)*0.26*$K184*2.72/12</f>
        <v>0.27824784000000008</v>
      </c>
      <c r="S184" s="8">
        <f>IF(J184="R",R184,Q184)</f>
        <v>1.0796016192000002</v>
      </c>
      <c r="T184" s="8">
        <f>43*0.9*(0.05+0.9*P184)*0.26*$K184*2.72/12</f>
        <v>3.1109020800000007</v>
      </c>
      <c r="U184" s="8">
        <f>T184*5.2</f>
        <v>16.176690816000004</v>
      </c>
      <c r="V184" s="8">
        <f>T184*420.9</f>
        <v>1309.3786854720001</v>
      </c>
      <c r="W184" s="8">
        <f>IF(P184 &lt; 16%, 0, IF(K184 &lt; 1, 0, T184-S184))</f>
        <v>2.0313004608000007</v>
      </c>
      <c r="X184" s="8"/>
      <c r="Y184" s="257"/>
      <c r="Z184" s="257"/>
      <c r="AA184" s="8"/>
      <c r="AB184" s="744" t="s">
        <v>297</v>
      </c>
      <c r="AC184" s="750" t="str">
        <f t="shared" si="52"/>
        <v/>
      </c>
      <c r="AD184" s="39" t="str">
        <f t="shared" ref="AD184:AD207" si="66">IF(AC184="NA",0,IF(AC184="","",T184*AC184))</f>
        <v/>
      </c>
      <c r="AE184" s="133"/>
      <c r="AF184" s="34"/>
      <c r="AG184" s="39"/>
      <c r="AH184" s="133"/>
      <c r="AI184" s="39"/>
      <c r="AJ184" s="133"/>
      <c r="AK184" s="327" t="str">
        <f t="shared" si="53"/>
        <v/>
      </c>
      <c r="AO184" s="589"/>
      <c r="AP184" s="39"/>
      <c r="AQ184" s="39"/>
      <c r="AR184" s="39"/>
      <c r="AS184" s="306"/>
      <c r="AU184" s="38"/>
      <c r="AV184" s="589"/>
      <c r="AW184" s="39"/>
      <c r="AX184" s="39"/>
      <c r="AY184" s="136"/>
      <c r="AZ184" s="146"/>
      <c r="BA184" s="8"/>
      <c r="BB184" s="143"/>
      <c r="BE184" s="143"/>
      <c r="BF184" s="14" t="s">
        <v>345</v>
      </c>
      <c r="BG184" t="s">
        <v>273</v>
      </c>
    </row>
    <row r="185" spans="1:59" ht="18.600000000000001" customHeight="1" x14ac:dyDescent="0.25">
      <c r="A185" s="5"/>
      <c r="B185" s="11">
        <v>-78.498907000000003</v>
      </c>
      <c r="C185" s="11">
        <v>38.067031</v>
      </c>
      <c r="D185" s="26" t="s">
        <v>473</v>
      </c>
      <c r="E185" s="1048" t="s">
        <v>289</v>
      </c>
      <c r="F185" s="1048" t="s">
        <v>474</v>
      </c>
      <c r="G185" s="1048" t="s">
        <v>291</v>
      </c>
      <c r="H185" s="1021"/>
      <c r="I185" s="1021"/>
      <c r="J185" s="1048" t="s">
        <v>292</v>
      </c>
      <c r="K185" s="11">
        <v>2.44</v>
      </c>
      <c r="L185" s="11"/>
      <c r="M185" s="11">
        <v>0</v>
      </c>
      <c r="N185" s="11">
        <v>1.38</v>
      </c>
      <c r="O185" s="7">
        <f>+M185/K185</f>
        <v>0</v>
      </c>
      <c r="P185" s="7">
        <f>+N185/K185</f>
        <v>0.56557377049180324</v>
      </c>
      <c r="Q185" s="8"/>
      <c r="R185" s="8"/>
      <c r="S185" s="8"/>
      <c r="T185" s="8">
        <f>IF(J184="TT",IF(F184="u/g detention",(43*0.9*(0.05+0.9*P185)*0.26*$K185*2.72/12)-AK183,(43*0.9*(0.05+0.9*P185)*0.26*$K185*2.72/12)-AK184),43*0.9*(0.05+0.9*P185)*0.26*$K185*2.72/12)</f>
        <v>3.1109020800000007</v>
      </c>
      <c r="U185" s="8">
        <f>T185*5.2</f>
        <v>16.176690816000004</v>
      </c>
      <c r="V185" s="8">
        <f>T185*420.9</f>
        <v>1309.3786854720001</v>
      </c>
      <c r="W185" s="8"/>
      <c r="X185" s="34" t="s">
        <v>278</v>
      </c>
      <c r="Y185" s="257">
        <v>210</v>
      </c>
      <c r="Z185" s="257">
        <v>1.38</v>
      </c>
      <c r="AA185" s="258">
        <f>IF(Y185="NA", 0, (Y185/43560)*12/Z185)</f>
        <v>4.1921188166247458E-2</v>
      </c>
      <c r="AB185" s="742" t="s">
        <v>296</v>
      </c>
      <c r="AC185" s="288">
        <f t="shared" si="52"/>
        <v>0.5</v>
      </c>
      <c r="AD185" s="742">
        <f t="shared" si="66"/>
        <v>1.5554510400000003</v>
      </c>
      <c r="AE185" s="134">
        <f>IF(ISNA(VLOOKUP(H185,'Efficiency Lookup'!$B$2:$C$38,2,FALSE)),0,(VLOOKUP(H185,'Efficiency Lookup'!$B$2:$C$38,2,FALSE)))</f>
        <v>0</v>
      </c>
      <c r="AF185" s="133">
        <f>T185*AE185</f>
        <v>0</v>
      </c>
      <c r="AG185" s="134">
        <f>IF(ISNA(VLOOKUP(I185,'Efficiency Lookup'!$D$2:$E$35,2,FALSE)),0,VLOOKUP(I185,'Efficiency Lookup'!$D$2:$E$35,2,FALSE))</f>
        <v>0</v>
      </c>
      <c r="AH185" s="133">
        <f>T185*AG185</f>
        <v>0</v>
      </c>
      <c r="AI185" s="132">
        <f>IF(X185="RR",IF((0.0304*(AA185^5)-0.2619*(AA185^4)+0.9161*(AA185^3)-1.6837*(AA185^2)+1.7072*AA185-0.0091)&gt;0.85,0.85,IF((0.0304*(AA185^5)-0.2619*(AA185^4)+0.9161*(AA185^3)-1.6837*(AA185^2)+1.7072*AA185-0.0091)&lt;0,0,(0.0304*(AA185^5)-0.2619*(AA185^4)+0.9161*(AA185^3)-1.6837*(AA185^2)+1.7072*AA185-0.0091))),IF((0.0239*(AA185^5)-0.2058*(AA185^4)+0.7198*(AA185^3)-1.3229*(AA185^2)+1.3414*AA185-0.0072)&gt;0.65,0.65,IF((0.0239*(AA185^5)-0.2058*(AA185^4)+0.7198*(AA185^3)-1.3229*(AA185^2)+1.3414*AA185-0.0072)&lt;0,0,(0.0239*(AA185^5)-0.2058*(AA185^4)+0.7198*(AA185^3)-1.3229*(AA185^2)+1.3414*AA185-0.0072))))</f>
        <v>4.6760632241200605E-2</v>
      </c>
      <c r="AJ185" s="133">
        <f>T185*AI185</f>
        <v>0.14546774810126606</v>
      </c>
      <c r="AK185" s="516">
        <f t="shared" si="53"/>
        <v>1.5554510400000003</v>
      </c>
      <c r="AL185" s="1100">
        <f>SUM(AK185:AK186)</f>
        <v>1.5554510400000003</v>
      </c>
      <c r="AM185" s="1100">
        <f>AL185-W184</f>
        <v>-0.47584942080000037</v>
      </c>
      <c r="AN185" s="1112">
        <f>AM185/AL185</f>
        <v>-0.3059237536656893</v>
      </c>
      <c r="AO185" s="138">
        <f>IF(ISNA(VLOOKUP(I185,'Efficiency Lookup'!$D$2:$G$35,3,FALSE)),0,VLOOKUP(I185,'Efficiency Lookup'!$D$2:$G$35,3,FALSE))</f>
        <v>0</v>
      </c>
      <c r="AP185" s="133">
        <f>U185*AO185</f>
        <v>0</v>
      </c>
      <c r="AQ185" s="135">
        <f>IF(X185="RR",IF((0.0308*(AA185^5)-0.2562*(AA185^4)+0.8634*(AA185^3)-1.5285*(AA185^2)+1.501*AA185-0.013)&gt;0.7,0.7,IF((0.0308*(AA185^5)-0.2562*(AA185^4)+0.8634*(AA185^3)-1.5285*(AA185^2)+1.501*AA185-0.013)&lt;0,0,(0.0308*(AA185^5)-0.2562*(AA185^4)+0.8634*(AA185^3)-1.5285*(AA185^2)+1.501*AA185-0.013))),IF((0.0152*(AA185^5)-0.131*(AA185^4)+0.4581*(AA185^3)-0.8418*(AA185^2)+0.8536*AA185-0.0046)&gt;0.65,0.65,IF((0.0152*(AA185^5)-0.131*(AA185^4)+0.4581*(AA185^3)-0.8418*(AA185^2)+0.8536*AA185-0.0046)&lt;0,0,(0.0152*(AA185^5)-0.131*(AA185^4)+0.4581*(AA185^3)-0.8418*(AA185^2)+0.8536*AA185-0.0046))))</f>
        <v>2.9737905066484126E-2</v>
      </c>
      <c r="AR185" s="34">
        <f>U185*AQ185</f>
        <v>0.48106089577607375</v>
      </c>
      <c r="AS185" s="400">
        <f>IF(AK185=AF185,MAX(AP185,AR185),IF(AK185=AH185,AP185,AR185))</f>
        <v>0.48106089577607375</v>
      </c>
      <c r="AT185" s="1100">
        <f>SUM(AS185:AS186)</f>
        <v>0.48106089577607375</v>
      </c>
      <c r="AU185" s="1104">
        <f>AT185*AN185</f>
        <v>-0.14716795497759541</v>
      </c>
      <c r="AV185" s="138">
        <f>IF(ISNA(VLOOKUP(I185,'Efficiency Lookup'!$D$2:$G$35,4,FALSE)),0,VLOOKUP(I185,'Efficiency Lookup'!$D$2:$G$35,4,FALSE))</f>
        <v>0</v>
      </c>
      <c r="AW185" s="133">
        <f>$V185*AV185</f>
        <v>0</v>
      </c>
      <c r="AX185" s="135">
        <f>IF(X185="RR",IF((0.0326*(AA185^5)-0.2806*(AA185^4)+0.9816*(AA185^3)-1.8039*(AA185^2)+1.8292*AA185-0.0098)&gt;0.85,0.85,IF((0.0326*(AA185^5)-0.2806*(AA185^4)+0.9816*(AA185^3)-1.8039*(AA185^2)+1.8292*AA185-0.0098)&lt;0,0,(0.0326*(AA185^5)-0.2806*(AA185^4)+0.9816*(AA185^3)-1.8039*(AA185^2)+1.8292*AA185-0.0098))),IF((0.0304*(AA185^5)-0.2619*(AA185^4)+0.9161*(AA185^3)-1.6837*(AA185^2)+1.7072*AA185-0.0091)&gt;0.8,0.8,IF((0.0304*(AA185^5)-0.2619*(AA185^4)+0.9161*(AA185^3)-1.6837*(AA185^2)+1.7072*AA185-0.0091)&lt;0,0,(0.0304*(AA185^5)-0.2619*(AA185^4)+0.9161*(AA185^3)-1.6837*(AA185^2)+1.7072*AA185-0.0091))))</f>
        <v>5.9575627336036094E-2</v>
      </c>
      <c r="AY185" s="144">
        <f>$V185*AX185</f>
        <v>78.007056607428694</v>
      </c>
      <c r="AZ185" s="400">
        <f>IF(AS185=AP185,AW185,AY185)</f>
        <v>78.007056607428694</v>
      </c>
      <c r="BA185" s="1100">
        <f>SUM(AZ185:AZ186)</f>
        <v>78.007056607428694</v>
      </c>
      <c r="BB185" s="1104">
        <f>BA185*AN185</f>
        <v>-23.864211569756495</v>
      </c>
      <c r="BC185" s="1105">
        <f>AM185</f>
        <v>-0.47584942080000037</v>
      </c>
      <c r="BD185" s="1106">
        <f>AU185</f>
        <v>-0.14716795497759541</v>
      </c>
      <c r="BE185" s="1107">
        <f>BB185</f>
        <v>-23.864211569756495</v>
      </c>
      <c r="BF185" s="14"/>
      <c r="BG185" t="s">
        <v>287</v>
      </c>
    </row>
    <row r="186" spans="1:59" ht="18.600000000000001" customHeight="1" x14ac:dyDescent="0.25">
      <c r="A186" s="5"/>
      <c r="B186" s="11">
        <v>-78.498733999999999</v>
      </c>
      <c r="C186" s="11">
        <v>38.066944999999997</v>
      </c>
      <c r="D186" s="26">
        <v>334.07</v>
      </c>
      <c r="E186" s="1048" t="s">
        <v>293</v>
      </c>
      <c r="F186" s="1048" t="s">
        <v>294</v>
      </c>
      <c r="G186" s="1048"/>
      <c r="H186" s="1021"/>
      <c r="I186" s="1021"/>
      <c r="J186" s="1048"/>
      <c r="K186" s="11">
        <v>2.44</v>
      </c>
      <c r="L186" s="11"/>
      <c r="M186" s="11">
        <v>0</v>
      </c>
      <c r="N186" s="11">
        <v>1.38</v>
      </c>
      <c r="O186" s="7">
        <f>+M186/K186</f>
        <v>0</v>
      </c>
      <c r="P186" s="7">
        <f>+N186/K186</f>
        <v>0.56557377049180324</v>
      </c>
      <c r="Q186" s="8"/>
      <c r="R186" s="8"/>
      <c r="S186" s="8"/>
      <c r="T186" s="8">
        <f>IF(J185="TT",IF(F185="u/g detention",(43*0.9*(0.05+0.9*P186)*0.26*$K186*2.72/12)-AK184,(43*0.9*(0.05+0.9*P186)*0.26*$K186*2.72/12)-AK185),43*0.9*(0.05+0.9*P186)*0.26*$K186*2.72/12)</f>
        <v>1.5554510400000003</v>
      </c>
      <c r="U186" s="8">
        <f>T186*5.2</f>
        <v>8.0883454080000021</v>
      </c>
      <c r="V186" s="8">
        <f>T186*420.9</f>
        <v>654.68934273600007</v>
      </c>
      <c r="W186" s="8"/>
      <c r="X186" s="34" t="s">
        <v>285</v>
      </c>
      <c r="Y186" s="257" t="s">
        <v>295</v>
      </c>
      <c r="Z186" s="257">
        <v>1.38</v>
      </c>
      <c r="AA186" s="258">
        <f>IF(Y186="NA", 0, (Y186/43560)*12/Z186)</f>
        <v>0</v>
      </c>
      <c r="AB186" s="742" t="s">
        <v>296</v>
      </c>
      <c r="AC186" s="134" t="str">
        <f t="shared" si="52"/>
        <v>NA</v>
      </c>
      <c r="AD186" s="741">
        <f t="shared" si="66"/>
        <v>0</v>
      </c>
      <c r="AE186" s="134">
        <f>IF(ISNA(VLOOKUP(H186,'Efficiency Lookup'!$B$2:$C$38,2,FALSE)),0,(VLOOKUP(H186,'Efficiency Lookup'!$B$2:$C$38,2,FALSE)))</f>
        <v>0</v>
      </c>
      <c r="AF186" s="133">
        <f>T186*AE186</f>
        <v>0</v>
      </c>
      <c r="AG186" s="134">
        <f>IF(ISNA(VLOOKUP(I186,'Efficiency Lookup'!$D$2:$E$35,2,FALSE)),0,VLOOKUP(I186,'Efficiency Lookup'!$D$2:$E$35,2,FALSE))</f>
        <v>0</v>
      </c>
      <c r="AH186" s="133">
        <f>T186*AG186</f>
        <v>0</v>
      </c>
      <c r="AI186" s="132">
        <f>IF(X186="RR",IF((0.0304*(AA186^5)-0.2619*(AA186^4)+0.9161*(AA186^3)-1.6837*(AA186^2)+1.7072*AA186-0.0091)&gt;0.85,0.85,IF((0.0304*(AA186^5)-0.2619*(AA186^4)+0.9161*(AA186^3)-1.6837*(AA186^2)+1.7072*AA186-0.0091)&lt;0,0,(0.0304*(AA186^5)-0.2619*(AA186^4)+0.9161*(AA186^3)-1.6837*(AA186^2)+1.7072*AA186-0.0091))),IF((0.0239*(AA186^5)-0.2058*(AA186^4)+0.7198*(AA186^3)-1.3229*(AA186^2)+1.3414*AA186-0.0072)&gt;0.65,0.65,IF((0.0239*(AA186^5)-0.2058*(AA186^4)+0.7198*(AA186^3)-1.3229*(AA186^2)+1.3414*AA186-0.0072)&lt;0,0,(0.0239*(AA186^5)-0.2058*(AA186^4)+0.7198*(AA186^3)-1.3229*(AA186^2)+1.3414*AA186-0.0072))))</f>
        <v>0</v>
      </c>
      <c r="AJ186" s="133">
        <f>T186*AI186</f>
        <v>0</v>
      </c>
      <c r="AK186" s="516">
        <f t="shared" si="53"/>
        <v>0</v>
      </c>
      <c r="AL186" s="1100"/>
      <c r="AM186" s="1100"/>
      <c r="AN186" s="1112"/>
      <c r="AO186" s="138">
        <f>IF(ISNA(VLOOKUP(I186,'Efficiency Lookup'!$D$2:$G$35,3,FALSE)),0,VLOOKUP(I186,'Efficiency Lookup'!$D$2:$G$35,3,FALSE))</f>
        <v>0</v>
      </c>
      <c r="AP186" s="133">
        <f>U186*AO186</f>
        <v>0</v>
      </c>
      <c r="AQ186" s="134">
        <f>IF(X186="RR",IF((0.0308*(AA186^5)-0.2562*(AA186^4)+0.8634*(AA186^3)-1.5285*(AA186^2)+1.501*AA186-0.013)&gt;0.7,0.7,IF((0.0308*(AA186^5)-0.2562*(AA186^4)+0.8634*(AA186^3)-1.5285*(AA186^2)+1.501*AA186-0.013)&lt;0,0,(0.0308*(AA186^5)-0.2562*(AA186^4)+0.8634*(AA186^3)-1.5285*(AA186^2)+1.501*AA186-0.013))),IF((0.0152*(AA186^5)-0.131*(AA186^4)+0.4581*(AA186^3)-0.8418*(AA186^2)+0.8536*AA186-0.0046)&gt;0.65,0.65,IF((0.0152*(AA186^5)-0.131*(AA186^4)+0.4581*(AA186^3)-0.8418*(AA186^2)+0.8536*AA186-0.0046)&lt;0,0,(0.0152*(AA186^5)-0.131*(AA186^4)+0.4581*(AA186^3)-0.8418*(AA186^2)+0.8536*AA186-0.0046))))</f>
        <v>0</v>
      </c>
      <c r="AR186" s="133">
        <f>U186*AQ186</f>
        <v>0</v>
      </c>
      <c r="AS186" s="400">
        <f>IF(AK186=AF186,MAX(AP186,AR186),IF(AK186=AH186,AP186,AR186))</f>
        <v>0</v>
      </c>
      <c r="AT186" s="1100"/>
      <c r="AU186" s="1104"/>
      <c r="AV186" s="138">
        <f>IF(ISNA(VLOOKUP(I186,'Efficiency Lookup'!$D$2:$G$35,4,FALSE)),0,VLOOKUP(I186,'Efficiency Lookup'!$D$2:$G$35,4,FALSE))</f>
        <v>0</v>
      </c>
      <c r="AW186" s="133">
        <f>$V186*AV186</f>
        <v>0</v>
      </c>
      <c r="AX186" s="134">
        <f>IF(X186="RR",IF((0.0326*(AA186^5)-0.2806*(AA186^4)+0.9816*(AA186^3)-1.8039*(AA186^2)+1.8292*AA186-0.0098)&gt;0.85,0.85,IF((0.0326*(AA186^5)-0.2806*(AA186^4)+0.9816*(AA186^3)-1.8039*(AA186^2)+1.8292*AA186-0.0098)&lt;0,0,(0.0326*(AA186^5)-0.2806*(AA186^4)+0.9816*(AA186^3)-1.8039*(AA186^2)+1.8292*AA186-0.0098))),IF((0.0304*(AA186^5)-0.2619*(AA186^4)+0.9161*(AA186^3)-1.6837*(AA186^2)+1.7072*AA186-0.0091)&gt;0.8,0.8,IF((0.0304*(AA186^5)-0.2619*(AA186^4)+0.9161*(AA186^3)-1.6837*(AA186^2)+1.7072*AA186-0.0091)&lt;0,0,(0.0304*(AA186^5)-0.2619*(AA186^4)+0.9161*(AA186^3)-1.6837*(AA186^2)+1.7072*AA186-0.0091))))</f>
        <v>0</v>
      </c>
      <c r="AY186" s="137">
        <f>$V186*AX186</f>
        <v>0</v>
      </c>
      <c r="AZ186" s="400">
        <f>IF(AS186=AP186,AW186,AY186)</f>
        <v>0</v>
      </c>
      <c r="BA186" s="1100"/>
      <c r="BB186" s="1104"/>
      <c r="BC186" s="1105"/>
      <c r="BD186" s="1106"/>
      <c r="BE186" s="1107"/>
      <c r="BF186" s="14"/>
    </row>
    <row r="187" spans="1:59" s="268" customFormat="1" ht="18.600000000000001" customHeight="1" x14ac:dyDescent="0.25">
      <c r="A187" s="269"/>
      <c r="B187" s="281"/>
      <c r="C187" s="281"/>
      <c r="D187" s="281"/>
      <c r="E187" s="262"/>
      <c r="F187" s="262"/>
      <c r="G187" s="262"/>
      <c r="H187" s="263"/>
      <c r="I187" s="263"/>
      <c r="J187" s="262"/>
      <c r="K187" s="271"/>
      <c r="L187" s="271"/>
      <c r="M187" s="271"/>
      <c r="N187" s="271"/>
      <c r="O187" s="273"/>
      <c r="P187" s="273"/>
      <c r="Q187" s="264"/>
      <c r="R187" s="264"/>
      <c r="S187" s="264"/>
      <c r="T187" s="264"/>
      <c r="U187" s="264"/>
      <c r="V187" s="264"/>
      <c r="W187" s="264"/>
      <c r="X187" s="264"/>
      <c r="Y187" s="265"/>
      <c r="Z187" s="265"/>
      <c r="AA187" s="321"/>
      <c r="AB187" s="747" t="s">
        <v>297</v>
      </c>
      <c r="AC187" s="751" t="str">
        <f t="shared" si="52"/>
        <v/>
      </c>
      <c r="AD187" s="303" t="str">
        <f t="shared" si="66"/>
        <v/>
      </c>
      <c r="AE187" s="274"/>
      <c r="AF187" s="266"/>
      <c r="AG187" s="303"/>
      <c r="AH187" s="274"/>
      <c r="AI187" s="303"/>
      <c r="AJ187" s="274"/>
      <c r="AK187" s="328" t="str">
        <f t="shared" si="53"/>
        <v/>
      </c>
      <c r="AO187" s="329"/>
      <c r="AP187" s="303"/>
      <c r="AQ187" s="303"/>
      <c r="AR187" s="303"/>
      <c r="AS187" s="587"/>
      <c r="AT187" s="410"/>
      <c r="AU187" s="406"/>
      <c r="AV187" s="329"/>
      <c r="AW187" s="303"/>
      <c r="AX187" s="303"/>
      <c r="AY187" s="285"/>
      <c r="AZ187" s="280"/>
      <c r="BA187" s="264"/>
      <c r="BB187" s="411"/>
      <c r="BE187" s="331"/>
      <c r="BF187" s="277"/>
    </row>
    <row r="188" spans="1:59" ht="18.600000000000001" customHeight="1" x14ac:dyDescent="0.25">
      <c r="A188" s="11" t="s">
        <v>475</v>
      </c>
      <c r="B188" s="11"/>
      <c r="C188" s="11"/>
      <c r="D188" s="1111" t="s">
        <v>476</v>
      </c>
      <c r="E188" s="1116"/>
      <c r="F188" s="1019"/>
      <c r="G188" s="1019"/>
      <c r="H188" s="1021"/>
      <c r="I188" s="1021"/>
      <c r="J188" s="1019"/>
      <c r="K188" s="11">
        <v>14.68</v>
      </c>
      <c r="L188" s="11"/>
      <c r="M188" s="11">
        <v>0.27</v>
      </c>
      <c r="N188" s="9">
        <v>5.0199999999999996</v>
      </c>
      <c r="O188" s="7">
        <f>+M188/K188</f>
        <v>1.8392370572207085E-2</v>
      </c>
      <c r="P188" s="7">
        <f>+N188/K188</f>
        <v>0.34196185286103542</v>
      </c>
      <c r="Q188" s="8">
        <f>43*0.9*(0.05+0.9*0.16)*0.26*$K188*2.72/12</f>
        <v>6.4953081024000001</v>
      </c>
      <c r="R188" s="39">
        <f>43*0.9*(0.05+0.9*O188)*0.26*$K188*2.72/12</f>
        <v>2.2282634400000005</v>
      </c>
      <c r="S188" s="8">
        <f>IF(J188="R",R188,Q188)</f>
        <v>6.4953081024000001</v>
      </c>
      <c r="T188" s="8">
        <f>43*0.9*(0.05+0.9*P188)*0.26*$K188*2.72/12</f>
        <v>11.978341440000003</v>
      </c>
      <c r="U188" s="8">
        <f>T188*5.2</f>
        <v>62.287375488000016</v>
      </c>
      <c r="V188" s="8">
        <f>T188*420.9</f>
        <v>5041.6839120960012</v>
      </c>
      <c r="W188" s="8">
        <f>IF(P188 &lt; 16%, 0, IF(K188 &lt; 1, 0, T188-S188))</f>
        <v>5.4830333376000029</v>
      </c>
      <c r="X188" s="8"/>
      <c r="Y188" s="257"/>
      <c r="Z188" s="257"/>
      <c r="AA188" s="258"/>
      <c r="AB188" s="742" t="s">
        <v>297</v>
      </c>
      <c r="AC188" s="750" t="str">
        <f t="shared" si="52"/>
        <v/>
      </c>
      <c r="AD188" s="39" t="str">
        <f t="shared" si="66"/>
        <v/>
      </c>
      <c r="AE188" s="133"/>
      <c r="AF188" s="34"/>
      <c r="AG188" s="39"/>
      <c r="AH188" s="133"/>
      <c r="AI188" s="39"/>
      <c r="AJ188" s="133"/>
      <c r="AK188" s="327" t="str">
        <f t="shared" si="53"/>
        <v/>
      </c>
      <c r="AO188" s="589"/>
      <c r="AP188" s="39"/>
      <c r="AQ188" s="39"/>
      <c r="AR188" s="39"/>
      <c r="AS188" s="400"/>
      <c r="AT188" s="17"/>
      <c r="AU188" s="409"/>
      <c r="AV188" s="589"/>
      <c r="AW188" s="39"/>
      <c r="AX188" s="39"/>
      <c r="AY188" s="136"/>
      <c r="AZ188" s="146"/>
      <c r="BA188" s="8"/>
      <c r="BB188" s="412"/>
      <c r="BE188" s="143"/>
      <c r="BF188" s="1115" t="s">
        <v>477</v>
      </c>
      <c r="BG188" t="s">
        <v>273</v>
      </c>
    </row>
    <row r="189" spans="1:59" ht="18.600000000000001" customHeight="1" x14ac:dyDescent="0.25">
      <c r="A189" s="5"/>
      <c r="B189" s="11">
        <v>-78.464297000000002</v>
      </c>
      <c r="C189" s="11">
        <v>38.054340000000003</v>
      </c>
      <c r="D189" s="26">
        <v>474.01</v>
      </c>
      <c r="E189" s="1048" t="s">
        <v>281</v>
      </c>
      <c r="F189" s="1048" t="s">
        <v>282</v>
      </c>
      <c r="G189" s="1048"/>
      <c r="H189" s="1021" t="s">
        <v>283</v>
      </c>
      <c r="I189" s="1021" t="s">
        <v>315</v>
      </c>
      <c r="J189" s="1048"/>
      <c r="K189" s="11">
        <v>15.27</v>
      </c>
      <c r="L189" s="11"/>
      <c r="M189" s="11">
        <v>0.84</v>
      </c>
      <c r="N189" s="11">
        <v>5.78</v>
      </c>
      <c r="O189" s="7">
        <f>+M189/K189</f>
        <v>5.50098231827112E-2</v>
      </c>
      <c r="P189" s="7">
        <f>+N189/K189</f>
        <v>0.37851997380484614</v>
      </c>
      <c r="Q189" s="8"/>
      <c r="R189" s="8"/>
      <c r="S189" s="8"/>
      <c r="T189" s="8">
        <f>IF(J188="TT",IF(F188="u/g detention",(43*0.9*(0.05+0.9*P189)*0.26*$K189*2.72/12)-AK187,(43*0.9*(0.05+0.9*P189)*0.26*$K189*2.72/12)-AK188),43*0.9*(0.05+0.9*P189)*0.26*$K189*2.72/12)</f>
        <v>13.605635160000004</v>
      </c>
      <c r="U189" s="8">
        <f>T189*5.2</f>
        <v>70.749302832000026</v>
      </c>
      <c r="V189" s="8">
        <f>T189*420.9</f>
        <v>5726.6118388440009</v>
      </c>
      <c r="W189" s="8"/>
      <c r="X189" s="34" t="s">
        <v>285</v>
      </c>
      <c r="Y189" s="257">
        <v>3434</v>
      </c>
      <c r="Z189" s="257">
        <v>5.78</v>
      </c>
      <c r="AA189" s="258">
        <f>IF(Y189="NA", 0, (Y189/43560)*12/Z189)</f>
        <v>0.16366877329444174</v>
      </c>
      <c r="AB189" s="742" t="s">
        <v>279</v>
      </c>
      <c r="AC189" s="134" t="str">
        <f t="shared" si="52"/>
        <v>NA</v>
      </c>
      <c r="AD189" s="741">
        <f t="shared" si="66"/>
        <v>0</v>
      </c>
      <c r="AE189" s="134">
        <f>IF(ISNA(VLOOKUP(H189,'Efficiency Lookup'!$B$2:$C$38,2,FALSE)),0,(VLOOKUP(H189,'Efficiency Lookup'!$B$2:$C$38,2,FALSE)))</f>
        <v>0.65</v>
      </c>
      <c r="AF189" s="133">
        <f>T189*AE189</f>
        <v>8.8436628540000033</v>
      </c>
      <c r="AG189" s="135">
        <f>IF(ISNA(VLOOKUP(I189,'Efficiency Lookup'!$D$2:$E$35,2,FALSE)),0,VLOOKUP(I189,'Efficiency Lookup'!$D$2:$E$35,2,FALSE))</f>
        <v>0.75</v>
      </c>
      <c r="AH189" s="34">
        <f>T189*AG189</f>
        <v>10.204226370000002</v>
      </c>
      <c r="AI189" s="132">
        <f>IF(X189="RR",IF((0.0304*(AA189^5)-0.2619*(AA189^4)+0.9161*(AA189^3)-1.6837*(AA189^2)+1.7072*AA189-0.0091)&gt;0.85,0.85,IF((0.0304*(AA189^5)-0.2619*(AA189^4)+0.9161*(AA189^3)-1.6837*(AA189^2)+1.7072*AA189-0.0091)&lt;0,0,(0.0304*(AA189^5)-0.2619*(AA189^4)+0.9161*(AA189^3)-1.6837*(AA189^2)+1.7072*AA189-0.0091))),IF((0.0239*(AA189^5)-0.2058*(AA189^4)+0.7198*(AA189^3)-1.3229*(AA189^2)+1.3414*AA189-0.0072)&gt;0.65,0.65,IF((0.0239*(AA189^5)-0.2058*(AA189^4)+0.7198*(AA189^3)-1.3229*(AA189^2)+1.3414*AA189-0.0072)&lt;0,0,(0.0239*(AA189^5)-0.2058*(AA189^4)+0.7198*(AA189^3)-1.3229*(AA189^2)+1.3414*AA189-0.0072))))</f>
        <v>0.22904534161295864</v>
      </c>
      <c r="AJ189" s="133">
        <f>T189*AI189</f>
        <v>3.1163073530834819</v>
      </c>
      <c r="AK189" s="516">
        <f t="shared" si="53"/>
        <v>10.204226370000002</v>
      </c>
      <c r="AL189" s="34">
        <f>AK189</f>
        <v>10.204226370000002</v>
      </c>
      <c r="AM189" s="313">
        <f>AL189-W188</f>
        <v>4.7211930323999995</v>
      </c>
      <c r="AN189" s="288">
        <f>AM189/AL189</f>
        <v>0.46267035453859678</v>
      </c>
      <c r="AO189" s="147">
        <f>IF(ISNA(VLOOKUP(I189,'Efficiency Lookup'!$D$2:$G$35,3,FALSE)),0,VLOOKUP(I189,'Efficiency Lookup'!$D$2:$G$35,3,FALSE))</f>
        <v>0.7</v>
      </c>
      <c r="AP189" s="34">
        <f>U189*AO189</f>
        <v>49.524511982400014</v>
      </c>
      <c r="AQ189" s="134">
        <f>IF(X189="RR",IF((0.0308*(AA189^5)-0.2562*(AA189^4)+0.8634*(AA189^3)-1.5285*(AA189^2)+1.501*AA189-0.013)&gt;0.7,0.7,IF((0.0308*(AA189^5)-0.2562*(AA189^4)+0.8634*(AA189^3)-1.5285*(AA189^2)+1.501*AA189-0.013)&lt;0,0,(0.0308*(AA189^5)-0.2562*(AA189^4)+0.8634*(AA189^3)-1.5285*(AA189^2)+1.501*AA189-0.013))),IF((0.0152*(AA189^5)-0.131*(AA189^4)+0.4581*(AA189^3)-0.8418*(AA189^2)+0.8536*AA189-0.0046)&gt;0.65,0.65,IF((0.0152*(AA189^5)-0.131*(AA189^4)+0.4581*(AA189^3)-0.8418*(AA189^2)+0.8536*AA189-0.0046)&lt;0,0,(0.0152*(AA189^5)-0.131*(AA189^4)+0.4581*(AA189^3)-0.8418*(AA189^2)+0.8536*AA189-0.0046))))</f>
        <v>0.19532734147972369</v>
      </c>
      <c r="AR189" s="133">
        <f>U189*AQ189</f>
        <v>13.819273233718452</v>
      </c>
      <c r="AS189" s="400">
        <f>IF(AK189=AF189,MAX(AP189,AR189),IF(AK189=AH189,AP189,AR189))</f>
        <v>49.524511982400014</v>
      </c>
      <c r="AT189" s="313">
        <f>AS189</f>
        <v>49.524511982400014</v>
      </c>
      <c r="AU189" s="313">
        <f>AT189*AN189</f>
        <v>22.913523517247999</v>
      </c>
      <c r="AV189" s="147">
        <f>IF(ISNA(VLOOKUP(I189,'Efficiency Lookup'!$D$2:$G$35,4,FALSE)),0,VLOOKUP(I189,'Efficiency Lookup'!$D$2:$G$35,4,FALSE))</f>
        <v>0.8</v>
      </c>
      <c r="AW189" s="34">
        <f>$V189*AV189</f>
        <v>4581.2894710752007</v>
      </c>
      <c r="AX189" s="134">
        <f>IF(X189="RR",IF((0.0326*(AA189^5)-0.2806*(AA189^4)+0.9816*(AA189^3)-1.8039*(AA189^2)+1.8292*AA189-0.0098)&gt;0.85,0.85,IF((0.0326*(AA189^5)-0.2806*(AA189^4)+0.9816*(AA189^3)-1.8039*(AA189^2)+1.8292*AA189-0.0098)&lt;0,0,(0.0326*(AA189^5)-0.2806*(AA189^4)+0.9816*(AA189^3)-1.8039*(AA189^2)+1.8292*AA189-0.0098))),IF((0.0304*(AA189^5)-0.2619*(AA189^4)+0.9161*(AA189^3)-1.6837*(AA189^2)+1.7072*AA189-0.0091)&gt;0.8,0.8,IF((0.0304*(AA189^5)-0.2619*(AA189^4)+0.9161*(AA189^3)-1.6837*(AA189^2)+1.7072*AA189-0.0091)&lt;0,0,(0.0304*(AA189^5)-0.2619*(AA189^4)+0.9161*(AA189^3)-1.6837*(AA189^2)+1.7072*AA189-0.0091))))</f>
        <v>0.24536708803661553</v>
      </c>
      <c r="AY189" s="137">
        <f>$V189*AX189</f>
        <v>1405.1220712131608</v>
      </c>
      <c r="AZ189" s="400">
        <f>IF(AS189=AP189,AW189,AY189)</f>
        <v>4581.2894710752007</v>
      </c>
      <c r="BA189" s="313">
        <f>AZ189</f>
        <v>4581.2894710752007</v>
      </c>
      <c r="BB189" s="401">
        <f>BA189*AN189</f>
        <v>2119.6268238263037</v>
      </c>
      <c r="BC189" s="318">
        <f>AM189</f>
        <v>4.7211930323999995</v>
      </c>
      <c r="BD189" s="318">
        <f>AU189</f>
        <v>22.913523517247999</v>
      </c>
      <c r="BE189" s="332">
        <f>BB189</f>
        <v>2119.6268238263037</v>
      </c>
      <c r="BF189" s="1115"/>
      <c r="BG189" t="s">
        <v>478</v>
      </c>
    </row>
    <row r="190" spans="1:59" s="268" customFormat="1" ht="18.600000000000001" customHeight="1" x14ac:dyDescent="0.25">
      <c r="A190" s="269"/>
      <c r="B190" s="281"/>
      <c r="C190" s="281"/>
      <c r="D190" s="281"/>
      <c r="E190" s="262"/>
      <c r="F190" s="262"/>
      <c r="G190" s="262"/>
      <c r="H190" s="263"/>
      <c r="I190" s="263"/>
      <c r="J190" s="262"/>
      <c r="K190" s="271"/>
      <c r="L190" s="271"/>
      <c r="M190" s="271"/>
      <c r="N190" s="271"/>
      <c r="O190" s="273"/>
      <c r="P190" s="273"/>
      <c r="Q190" s="264"/>
      <c r="R190" s="264"/>
      <c r="S190" s="264"/>
      <c r="T190" s="264"/>
      <c r="U190" s="264"/>
      <c r="V190" s="264"/>
      <c r="W190" s="264"/>
      <c r="X190" s="264"/>
      <c r="Y190" s="265"/>
      <c r="Z190" s="265"/>
      <c r="AA190" s="321"/>
      <c r="AB190" s="747" t="s">
        <v>297</v>
      </c>
      <c r="AC190" s="751" t="str">
        <f t="shared" si="52"/>
        <v/>
      </c>
      <c r="AD190" s="303" t="str">
        <f t="shared" si="66"/>
        <v/>
      </c>
      <c r="AE190" s="274"/>
      <c r="AF190" s="266"/>
      <c r="AG190" s="303"/>
      <c r="AH190" s="274"/>
      <c r="AI190" s="303"/>
      <c r="AJ190" s="274"/>
      <c r="AK190" s="328" t="str">
        <f t="shared" si="53"/>
        <v/>
      </c>
      <c r="AO190" s="329"/>
      <c r="AP190" s="303"/>
      <c r="AQ190" s="303"/>
      <c r="AR190" s="303"/>
      <c r="AS190" s="587"/>
      <c r="AT190" s="410"/>
      <c r="AU190" s="408"/>
      <c r="AV190" s="329"/>
      <c r="AW190" s="303"/>
      <c r="AX190" s="303"/>
      <c r="AY190" s="285"/>
      <c r="AZ190" s="280"/>
      <c r="BA190" s="264"/>
      <c r="BB190" s="411"/>
      <c r="BE190" s="331"/>
      <c r="BF190" s="277"/>
    </row>
    <row r="191" spans="1:59" ht="18.600000000000001" customHeight="1" x14ac:dyDescent="0.25">
      <c r="A191" s="11" t="s">
        <v>479</v>
      </c>
      <c r="B191" s="11"/>
      <c r="C191" s="11"/>
      <c r="D191" s="1111" t="s">
        <v>271</v>
      </c>
      <c r="E191" s="1116"/>
      <c r="F191" s="1019"/>
      <c r="G191" s="1019"/>
      <c r="H191" s="1021"/>
      <c r="I191" s="1021"/>
      <c r="J191" s="1019"/>
      <c r="K191" s="11">
        <v>1.42</v>
      </c>
      <c r="L191" s="11"/>
      <c r="M191" s="11">
        <v>0</v>
      </c>
      <c r="N191" s="9">
        <v>0.68</v>
      </c>
      <c r="O191" s="7">
        <f>+M191/K191</f>
        <v>0</v>
      </c>
      <c r="P191" s="7">
        <f>+N191/K191</f>
        <v>0.4788732394366198</v>
      </c>
      <c r="Q191" s="8">
        <f>43*0.9*(0.05+0.9*0.16)*0.26*$K191*2.72/12</f>
        <v>0.62829274560000004</v>
      </c>
      <c r="R191" s="39">
        <f>43*0.9*(0.05+0.9*O191)*0.26*$K191*2.72/12</f>
        <v>0.16193112000000004</v>
      </c>
      <c r="S191" s="8">
        <f>IF(J191="R",R191,Q191)</f>
        <v>0.62829274560000004</v>
      </c>
      <c r="T191" s="8">
        <f>43*0.9*(0.05+0.9*P191)*0.26*$K191*2.72/12</f>
        <v>1.5577317600000005</v>
      </c>
      <c r="U191" s="8">
        <f>T191*5.2</f>
        <v>8.1002051520000027</v>
      </c>
      <c r="V191" s="8">
        <f>T191*420.9</f>
        <v>655.64929778400017</v>
      </c>
      <c r="W191" s="8">
        <f>IF(P191 &lt; 16%, 0, IF(K191 &lt; 1, 0, T191-S191))</f>
        <v>0.92943901440000043</v>
      </c>
      <c r="X191" s="8"/>
      <c r="Y191" s="257"/>
      <c r="Z191" s="257"/>
      <c r="AA191" s="258"/>
      <c r="AB191" s="742" t="s">
        <v>297</v>
      </c>
      <c r="AC191" s="750" t="str">
        <f t="shared" si="52"/>
        <v/>
      </c>
      <c r="AD191" s="39" t="str">
        <f t="shared" si="66"/>
        <v/>
      </c>
      <c r="AE191" s="133"/>
      <c r="AF191" s="34"/>
      <c r="AG191" s="39"/>
      <c r="AH191" s="133"/>
      <c r="AI191" s="39"/>
      <c r="AJ191" s="133"/>
      <c r="AK191" s="327" t="str">
        <f t="shared" si="53"/>
        <v/>
      </c>
      <c r="AO191" s="589"/>
      <c r="AP191" s="39"/>
      <c r="AQ191" s="39"/>
      <c r="AR191" s="39"/>
      <c r="AS191" s="400"/>
      <c r="AT191" s="17"/>
      <c r="AU191" s="409"/>
      <c r="AV191" s="589"/>
      <c r="AW191" s="39"/>
      <c r="AX191" s="39"/>
      <c r="AY191" s="136"/>
      <c r="AZ191" s="146"/>
      <c r="BA191" s="8"/>
      <c r="BB191" s="412"/>
      <c r="BE191" s="143"/>
      <c r="BF191" s="14"/>
      <c r="BG191" t="s">
        <v>422</v>
      </c>
    </row>
    <row r="192" spans="1:59" ht="18.600000000000001" customHeight="1" x14ac:dyDescent="0.25">
      <c r="A192" s="11"/>
      <c r="B192" s="11">
        <v>-78.466918000000007</v>
      </c>
      <c r="C192" s="11">
        <v>38.096380000000003</v>
      </c>
      <c r="D192" s="26" t="s">
        <v>480</v>
      </c>
      <c r="E192" s="1048" t="s">
        <v>289</v>
      </c>
      <c r="F192" s="1048" t="s">
        <v>481</v>
      </c>
      <c r="G192" s="1021" t="s">
        <v>291</v>
      </c>
      <c r="H192" s="1021"/>
      <c r="I192" s="1021"/>
      <c r="J192" s="1048" t="s">
        <v>292</v>
      </c>
      <c r="K192" s="11">
        <v>0.83</v>
      </c>
      <c r="L192" s="11"/>
      <c r="M192" s="11">
        <v>0.83</v>
      </c>
      <c r="N192" s="11">
        <v>0.83</v>
      </c>
      <c r="O192" s="7">
        <f>+M192/K192</f>
        <v>1</v>
      </c>
      <c r="P192" s="7">
        <f>+N192/K192</f>
        <v>1</v>
      </c>
      <c r="Q192" s="8"/>
      <c r="R192" s="8"/>
      <c r="S192" s="8"/>
      <c r="T192" s="8">
        <f>IF(J191="TT",IF(F191="u/g detention",(43*0.9*(0.05+0.9*P192)*0.26*$K192*2.72/12)-AK190,(43*0.9*(0.05+0.9*P192)*0.26*$K192*2.72/12)-AK191),43*0.9*(0.05+0.9*P192)*0.26*$K192*2.72/12)</f>
        <v>1.7983477200000006</v>
      </c>
      <c r="U192" s="8">
        <f>T192*5.2</f>
        <v>9.3514081440000041</v>
      </c>
      <c r="V192" s="8">
        <f>T192*420.9</f>
        <v>756.92455534800024</v>
      </c>
      <c r="W192" s="8"/>
      <c r="X192" s="34" t="s">
        <v>278</v>
      </c>
      <c r="Y192" s="257">
        <v>280</v>
      </c>
      <c r="Z192" s="257">
        <v>5.49</v>
      </c>
      <c r="AA192" s="258">
        <f>IF(Y192="NA", 0, (Y192/43560)*12/Z192)</f>
        <v>1.4050088565736852E-2</v>
      </c>
      <c r="AB192" s="742" t="s">
        <v>296</v>
      </c>
      <c r="AC192" s="288">
        <f t="shared" si="52"/>
        <v>0.5</v>
      </c>
      <c r="AD192" s="742">
        <f t="shared" si="66"/>
        <v>0.89917386000000032</v>
      </c>
      <c r="AE192" s="134">
        <f>IF(ISNA(VLOOKUP(H192,'Efficiency Lookup'!$B$2:$C$38,2,FALSE)),0,(VLOOKUP(H192,'Efficiency Lookup'!$B$2:$C$38,2,FALSE)))</f>
        <v>0</v>
      </c>
      <c r="AF192" s="133">
        <f>T192*AE192</f>
        <v>0</v>
      </c>
      <c r="AG192" s="134">
        <f>IF(ISNA(VLOOKUP(I192,'Efficiency Lookup'!$D$2:$E$35,2,FALSE)),0,VLOOKUP(I192,'Efficiency Lookup'!$D$2:$E$35,2,FALSE))</f>
        <v>0</v>
      </c>
      <c r="AH192" s="133">
        <f>T192*AG192</f>
        <v>0</v>
      </c>
      <c r="AI192" s="132">
        <f>IF(X192="RR",IF((0.0304*(AA192^5)-0.2619*(AA192^4)+0.9161*(AA192^3)-1.6837*(AA192^2)+1.7072*AA192-0.0091)&gt;0.85,0.85,IF((0.0304*(AA192^5)-0.2619*(AA192^4)+0.9161*(AA192^3)-1.6837*(AA192^2)+1.7072*AA192-0.0091)&lt;0,0,(0.0304*(AA192^5)-0.2619*(AA192^4)+0.9161*(AA192^3)-1.6837*(AA192^2)+1.7072*AA192-0.0091))),IF((0.0239*(AA192^5)-0.2058*(AA192^4)+0.7198*(AA192^3)-1.3229*(AA192^2)+1.3414*AA192-0.0072)&gt;0.65,0.65,IF((0.0239*(AA192^5)-0.2058*(AA192^4)+0.7198*(AA192^3)-1.3229*(AA192^2)+1.3414*AA192-0.0072)&lt;0,0,(0.0239*(AA192^5)-0.2058*(AA192^4)+0.7198*(AA192^3)-1.3229*(AA192^2)+1.3414*AA192-0.0072))))</f>
        <v>1.1387630142584761E-2</v>
      </c>
      <c r="AJ192" s="133">
        <f>T192*AI192</f>
        <v>2.0478918703120588E-2</v>
      </c>
      <c r="AK192" s="516">
        <f t="shared" si="53"/>
        <v>0.89917386000000032</v>
      </c>
      <c r="AL192" s="1100">
        <f>SUM(AK192:AK193)</f>
        <v>0.89917386000000032</v>
      </c>
      <c r="AM192" s="1100">
        <f>AL192-W191</f>
        <v>-3.0265154400000105E-2</v>
      </c>
      <c r="AN192" s="1112">
        <f>AM192/AL192</f>
        <v>-3.3658845909955715E-2</v>
      </c>
      <c r="AO192" s="138">
        <f>IF(ISNA(VLOOKUP(I192,'Efficiency Lookup'!$D$2:$G$35,3,FALSE)),0,VLOOKUP(I192,'Efficiency Lookup'!$D$2:$G$35,3,FALSE))</f>
        <v>0</v>
      </c>
      <c r="AP192" s="133">
        <f>U192*AO192</f>
        <v>0</v>
      </c>
      <c r="AQ192" s="140">
        <f>IF(X192="RR",IF((0.0308*(AA192^5)-0.2562*(AA192^4)+0.8634*(AA192^3)-1.5285*(AA192^2)+1.501*AA192-0.013)&gt;0.7,0.7,IF((0.0308*(AA192^5)-0.2562*(AA192^4)+0.8634*(AA192^3)-1.5285*(AA192^2)+1.501*AA192-0.013)&lt;0,0,(0.0308*(AA192^5)-0.2562*(AA192^4)+0.8634*(AA192^3)-1.5285*(AA192^2)+1.501*AA192-0.013))),IF((0.0152*(AA192^5)-0.131*(AA192^4)+0.4581*(AA192^3)-0.8418*(AA192^2)+0.8536*AA192-0.0046)&gt;0.65,0.65,IF((0.0152*(AA192^5)-0.131*(AA192^4)+0.4581*(AA192^3)-0.8418*(AA192^2)+0.8536*AA192-0.0046)&lt;0,0,(0.0152*(AA192^5)-0.131*(AA192^4)+0.4581*(AA192^3)-0.8418*(AA192^2)+0.8536*AA192-0.0046))))</f>
        <v>7.2282455503646439E-3</v>
      </c>
      <c r="AR192" s="34">
        <f>U192*AQ192</f>
        <v>6.7594274306511729E-2</v>
      </c>
      <c r="AS192" s="400">
        <f>IF(AK192=AF192,MAX(AP192,AR192),IF(AK192=AH192,AP192,AR192))</f>
        <v>6.7594274306511729E-2</v>
      </c>
      <c r="AT192" s="1100">
        <f>SUM(AS192:AS193)</f>
        <v>6.7594274306511729E-2</v>
      </c>
      <c r="AU192" s="1104">
        <f>AT192*AN192</f>
        <v>-2.2751452632781568E-3</v>
      </c>
      <c r="AV192" s="138">
        <f>IF(ISNA(VLOOKUP(I192,'Efficiency Lookup'!$D$2:$G$35,4,FALSE)),0,VLOOKUP(I192,'Efficiency Lookup'!$D$2:$G$35,4,FALSE))</f>
        <v>0</v>
      </c>
      <c r="AW192" s="133">
        <f>$V192*AV192</f>
        <v>0</v>
      </c>
      <c r="AX192" s="135">
        <f>IF(X192="RR",IF((0.0326*(AA192^5)-0.2806*(AA192^4)+0.9816*(AA192^3)-1.8039*(AA192^2)+1.8292*AA192-0.0098)&gt;0.85,0.85,IF((0.0326*(AA192^5)-0.2806*(AA192^4)+0.9816*(AA192^3)-1.8039*(AA192^2)+1.8292*AA192-0.0098)&lt;0,0,(0.0326*(AA192^5)-0.2806*(AA192^4)+0.9816*(AA192^3)-1.8039*(AA192^2)+1.8292*AA192-0.0098))),IF((0.0304*(AA192^5)-0.2619*(AA192^4)+0.9161*(AA192^3)-1.6837*(AA192^2)+1.7072*AA192-0.0091)&gt;0.8,0.8,IF((0.0304*(AA192^5)-0.2619*(AA192^4)+0.9161*(AA192^3)-1.6837*(AA192^2)+1.7072*AA192-0.0091)&lt;0,0,(0.0304*(AA192^5)-0.2619*(AA192^4)+0.9161*(AA192^3)-1.6837*(AA192^2)+1.7072*AA192-0.0091))))</f>
        <v>1.4556471086771532E-2</v>
      </c>
      <c r="AY192" s="144">
        <f>$V192*AX192</f>
        <v>11.018150404790564</v>
      </c>
      <c r="AZ192" s="400">
        <f>IF(AS192=AP192,AW192,AY192)</f>
        <v>11.018150404790564</v>
      </c>
      <c r="BA192" s="1100">
        <f>SUM(AZ192:AZ193)</f>
        <v>11.018150404790564</v>
      </c>
      <c r="BB192" s="1104">
        <f>BA192*AN192</f>
        <v>-0.3708582266875618</v>
      </c>
      <c r="BC192" s="1105">
        <f>AM192</f>
        <v>-3.0265154400000105E-2</v>
      </c>
      <c r="BD192" s="1106">
        <f>AU192</f>
        <v>-2.2751452632781568E-3</v>
      </c>
      <c r="BE192" s="1107">
        <f>BB192</f>
        <v>-0.3708582266875618</v>
      </c>
      <c r="BF192" s="14"/>
      <c r="BG192" t="s">
        <v>482</v>
      </c>
    </row>
    <row r="193" spans="1:59" ht="18.600000000000001" customHeight="1" x14ac:dyDescent="0.25">
      <c r="A193" s="5"/>
      <c r="B193" s="11">
        <v>-78.466483999999994</v>
      </c>
      <c r="C193" s="11">
        <v>38.096164000000002</v>
      </c>
      <c r="D193" s="26">
        <v>335.09</v>
      </c>
      <c r="E193" s="1048" t="s">
        <v>293</v>
      </c>
      <c r="F193" s="1048" t="s">
        <v>294</v>
      </c>
      <c r="G193" s="1048"/>
      <c r="H193" s="1021"/>
      <c r="I193" s="1021"/>
      <c r="J193" s="1048"/>
      <c r="K193" s="11">
        <v>5.49</v>
      </c>
      <c r="L193" s="11"/>
      <c r="M193" s="11">
        <v>5.49</v>
      </c>
      <c r="N193" s="11">
        <v>5.49</v>
      </c>
      <c r="O193" s="7">
        <f>+M193/K193</f>
        <v>1</v>
      </c>
      <c r="P193" s="7">
        <f>+N193/K193</f>
        <v>1</v>
      </c>
      <c r="Q193" s="8"/>
      <c r="R193" s="8"/>
      <c r="S193" s="8"/>
      <c r="T193" s="8">
        <f>IF(J192="TT",IF(F192="u/g detention",(43*0.9*(0.05+0.9*P193)*0.26*$K193*2.72/12)-AK191,(43*0.9*(0.05+0.9*P193)*0.26*$K193*2.72/12)-AK192),43*0.9*(0.05+0.9*P193)*0.26*$K193*2.72/12)</f>
        <v>10.995921300000006</v>
      </c>
      <c r="U193" s="8">
        <f>T193*5.2</f>
        <v>57.178790760000034</v>
      </c>
      <c r="V193" s="8">
        <f>T193*420.9</f>
        <v>4628.1832751700022</v>
      </c>
      <c r="W193" s="8"/>
      <c r="X193" s="34" t="s">
        <v>285</v>
      </c>
      <c r="Y193" s="257" t="s">
        <v>295</v>
      </c>
      <c r="Z193" s="257" t="s">
        <v>295</v>
      </c>
      <c r="AA193" s="258">
        <f>IF(Y193="NA", 0, (Y193/43560)*12/Z193)</f>
        <v>0</v>
      </c>
      <c r="AB193" s="742" t="s">
        <v>296</v>
      </c>
      <c r="AC193" s="134" t="str">
        <f t="shared" si="52"/>
        <v>NA</v>
      </c>
      <c r="AD193" s="741">
        <f t="shared" si="66"/>
        <v>0</v>
      </c>
      <c r="AE193" s="134">
        <f>IF(ISNA(VLOOKUP(H193,'Efficiency Lookup'!$B$2:$C$38,2,FALSE)),0,(VLOOKUP(H193,'Efficiency Lookup'!$B$2:$C$38,2,FALSE)))</f>
        <v>0</v>
      </c>
      <c r="AF193" s="133">
        <f>T193*AE193</f>
        <v>0</v>
      </c>
      <c r="AG193" s="134">
        <f>IF(ISNA(VLOOKUP(I193,'Efficiency Lookup'!$D$2:$E$35,2,FALSE)),0,VLOOKUP(I193,'Efficiency Lookup'!$D$2:$E$35,2,FALSE))</f>
        <v>0</v>
      </c>
      <c r="AH193" s="133">
        <f>T193*AG193</f>
        <v>0</v>
      </c>
      <c r="AI193" s="132">
        <f>IF(X193="RR",IF((0.0304*(AA193^5)-0.2619*(AA193^4)+0.9161*(AA193^3)-1.6837*(AA193^2)+1.7072*AA193-0.0091)&gt;0.85,0.85,IF((0.0304*(AA193^5)-0.2619*(AA193^4)+0.9161*(AA193^3)-1.6837*(AA193^2)+1.7072*AA193-0.0091)&lt;0,0,(0.0304*(AA193^5)-0.2619*(AA193^4)+0.9161*(AA193^3)-1.6837*(AA193^2)+1.7072*AA193-0.0091))),IF((0.0239*(AA193^5)-0.2058*(AA193^4)+0.7198*(AA193^3)-1.3229*(AA193^2)+1.3414*AA193-0.0072)&gt;0.65,0.65,IF((0.0239*(AA193^5)-0.2058*(AA193^4)+0.7198*(AA193^3)-1.3229*(AA193^2)+1.3414*AA193-0.0072)&lt;0,0,(0.0239*(AA193^5)-0.2058*(AA193^4)+0.7198*(AA193^3)-1.3229*(AA193^2)+1.3414*AA193-0.0072))))</f>
        <v>0</v>
      </c>
      <c r="AJ193" s="133">
        <f>T193*AI193</f>
        <v>0</v>
      </c>
      <c r="AK193" s="516">
        <f t="shared" si="53"/>
        <v>0</v>
      </c>
      <c r="AL193" s="1100"/>
      <c r="AM193" s="1100"/>
      <c r="AN193" s="1112"/>
      <c r="AO193" s="138">
        <f>IF(ISNA(VLOOKUP(I193,'Efficiency Lookup'!$D$2:$G$35,3,FALSE)),0,VLOOKUP(I193,'Efficiency Lookup'!$D$2:$G$35,3,FALSE))</f>
        <v>0</v>
      </c>
      <c r="AP193" s="133">
        <f>U193*AO193</f>
        <v>0</v>
      </c>
      <c r="AQ193" s="134">
        <f>IF(X193="RR",IF((0.0308*(AA193^5)-0.2562*(AA193^4)+0.8634*(AA193^3)-1.5285*(AA193^2)+1.501*AA193-0.013)&gt;0.7,0.7,IF((0.0308*(AA193^5)-0.2562*(AA193^4)+0.8634*(AA193^3)-1.5285*(AA193^2)+1.501*AA193-0.013)&lt;0,0,(0.0308*(AA193^5)-0.2562*(AA193^4)+0.8634*(AA193^3)-1.5285*(AA193^2)+1.501*AA193-0.013))),IF((0.0152*(AA193^5)-0.131*(AA193^4)+0.4581*(AA193^3)-0.8418*(AA193^2)+0.8536*AA193-0.0046)&gt;0.65,0.65,IF((0.0152*(AA193^5)-0.131*(AA193^4)+0.4581*(AA193^3)-0.8418*(AA193^2)+0.8536*AA193-0.0046)&lt;0,0,(0.0152*(AA193^5)-0.131*(AA193^4)+0.4581*(AA193^3)-0.8418*(AA193^2)+0.8536*AA193-0.0046))))</f>
        <v>0</v>
      </c>
      <c r="AR193" s="133">
        <f>U193*AQ193</f>
        <v>0</v>
      </c>
      <c r="AS193" s="400">
        <f>IF(AK193=AF193,MAX(AP193,AR193),IF(AK193=AH193,AP193,AR193))</f>
        <v>0</v>
      </c>
      <c r="AT193" s="1100"/>
      <c r="AU193" s="1104"/>
      <c r="AV193" s="138">
        <f>IF(ISNA(VLOOKUP(I193,'Efficiency Lookup'!$D$2:$G$35,4,FALSE)),0,VLOOKUP(I193,'Efficiency Lookup'!$D$2:$G$35,4,FALSE))</f>
        <v>0</v>
      </c>
      <c r="AW193" s="133">
        <f>$V193*AV193</f>
        <v>0</v>
      </c>
      <c r="AX193" s="134">
        <f>IF(X193="RR",IF((0.0326*(AA193^5)-0.2806*(AA193^4)+0.9816*(AA193^3)-1.8039*(AA193^2)+1.8292*AA193-0.0098)&gt;0.85,0.85,IF((0.0326*(AA193^5)-0.2806*(AA193^4)+0.9816*(AA193^3)-1.8039*(AA193^2)+1.8292*AA193-0.0098)&lt;0,0,(0.0326*(AA193^5)-0.2806*(AA193^4)+0.9816*(AA193^3)-1.8039*(AA193^2)+1.8292*AA193-0.0098))),IF((0.0304*(AA193^5)-0.2619*(AA193^4)+0.9161*(AA193^3)-1.6837*(AA193^2)+1.7072*AA193-0.0091)&gt;0.8,0.8,IF((0.0304*(AA193^5)-0.2619*(AA193^4)+0.9161*(AA193^3)-1.6837*(AA193^2)+1.7072*AA193-0.0091)&lt;0,0,(0.0304*(AA193^5)-0.2619*(AA193^4)+0.9161*(AA193^3)-1.6837*(AA193^2)+1.7072*AA193-0.0091))))</f>
        <v>0</v>
      </c>
      <c r="AY193" s="137">
        <f>$V193*AX193</f>
        <v>0</v>
      </c>
      <c r="AZ193" s="400">
        <f>IF(AS193=AP193,AW193,AY193)</f>
        <v>0</v>
      </c>
      <c r="BA193" s="1100"/>
      <c r="BB193" s="1104"/>
      <c r="BC193" s="1105"/>
      <c r="BD193" s="1106"/>
      <c r="BE193" s="1107"/>
      <c r="BF193" s="14"/>
    </row>
    <row r="194" spans="1:59" s="268" customFormat="1" ht="18.600000000000001" customHeight="1" x14ac:dyDescent="0.25">
      <c r="A194" s="269"/>
      <c r="B194" s="281"/>
      <c r="C194" s="281"/>
      <c r="D194" s="281"/>
      <c r="E194" s="262"/>
      <c r="F194" s="262"/>
      <c r="G194" s="262"/>
      <c r="H194" s="263"/>
      <c r="I194" s="263"/>
      <c r="J194" s="262"/>
      <c r="K194" s="271"/>
      <c r="L194" s="271"/>
      <c r="M194" s="271"/>
      <c r="N194" s="271"/>
      <c r="O194" s="273"/>
      <c r="P194" s="273"/>
      <c r="Q194" s="264"/>
      <c r="R194" s="264"/>
      <c r="S194" s="264"/>
      <c r="T194" s="264"/>
      <c r="U194" s="264"/>
      <c r="V194" s="264"/>
      <c r="W194" s="264"/>
      <c r="X194" s="264"/>
      <c r="Y194" s="265"/>
      <c r="Z194" s="265"/>
      <c r="AA194" s="321"/>
      <c r="AB194" s="747" t="s">
        <v>297</v>
      </c>
      <c r="AC194" s="751" t="str">
        <f t="shared" si="52"/>
        <v/>
      </c>
      <c r="AD194" s="303" t="str">
        <f t="shared" si="66"/>
        <v/>
      </c>
      <c r="AE194" s="274"/>
      <c r="AF194" s="274"/>
      <c r="AG194" s="303"/>
      <c r="AH194" s="274"/>
      <c r="AI194" s="303"/>
      <c r="AJ194" s="274"/>
      <c r="AK194" s="328" t="str">
        <f t="shared" si="53"/>
        <v/>
      </c>
      <c r="AO194" s="329"/>
      <c r="AP194" s="303"/>
      <c r="AQ194" s="303"/>
      <c r="AR194" s="303"/>
      <c r="AS194" s="587"/>
      <c r="AT194" s="410"/>
      <c r="AU194" s="406"/>
      <c r="AV194" s="329"/>
      <c r="AW194" s="303"/>
      <c r="AX194" s="303"/>
      <c r="AY194" s="285"/>
      <c r="AZ194" s="280"/>
      <c r="BA194" s="264"/>
      <c r="BB194" s="411"/>
      <c r="BE194" s="331"/>
      <c r="BF194" s="277"/>
    </row>
    <row r="195" spans="1:59" ht="18.600000000000001" customHeight="1" x14ac:dyDescent="0.25">
      <c r="A195" s="11" t="s">
        <v>483</v>
      </c>
      <c r="B195" s="11"/>
      <c r="C195" s="11"/>
      <c r="D195" s="1111" t="s">
        <v>476</v>
      </c>
      <c r="E195" s="1116"/>
      <c r="F195" s="1019"/>
      <c r="G195" s="1019"/>
      <c r="H195" s="1021"/>
      <c r="I195" s="1021"/>
      <c r="J195" s="1019" t="s">
        <v>348</v>
      </c>
      <c r="K195" s="11">
        <v>1.27</v>
      </c>
      <c r="L195" s="11"/>
      <c r="M195" s="11">
        <v>0.4</v>
      </c>
      <c r="N195" s="9">
        <v>0.48</v>
      </c>
      <c r="O195" s="7">
        <f>+M195/K195</f>
        <v>0.31496062992125984</v>
      </c>
      <c r="P195" s="7">
        <f>+N195/K195</f>
        <v>0.37795275590551181</v>
      </c>
      <c r="Q195" s="39">
        <f>43*0.9*(0.05+0.9*0.16)*0.26*$K195*2.72/12</f>
        <v>0.5619237936</v>
      </c>
      <c r="R195" s="8">
        <f>43*0.9*(0.05+0.9*O195)*0.26*$K195*2.72/12</f>
        <v>0.96588492000000004</v>
      </c>
      <c r="S195" s="8">
        <f>IF(J195="R",R195,Q195)</f>
        <v>0.96588492000000004</v>
      </c>
      <c r="T195" s="8">
        <f>43*0.9*(0.05+0.9*P195)*0.26*$K195*2.72/12</f>
        <v>1.13009676</v>
      </c>
      <c r="U195" s="8">
        <f>T195*5.2</f>
        <v>5.8765031520000006</v>
      </c>
      <c r="V195" s="8">
        <f>T195*420.9</f>
        <v>475.65772628399998</v>
      </c>
      <c r="W195" s="8">
        <f>IF(P195 &lt; 16%, 0, IF(K195 &lt; 1, 0, T195-S195))</f>
        <v>0.16421184</v>
      </c>
      <c r="X195" s="8"/>
      <c r="Y195" s="257"/>
      <c r="Z195" s="257"/>
      <c r="AA195" s="258"/>
      <c r="AB195" s="742" t="s">
        <v>297</v>
      </c>
      <c r="AC195" s="750" t="str">
        <f t="shared" si="52"/>
        <v/>
      </c>
      <c r="AD195" s="39" t="str">
        <f t="shared" si="66"/>
        <v/>
      </c>
      <c r="AE195" s="133"/>
      <c r="AF195" s="133"/>
      <c r="AG195" s="39"/>
      <c r="AH195" s="133"/>
      <c r="AI195" s="39"/>
      <c r="AJ195" s="133"/>
      <c r="AK195" s="327" t="str">
        <f t="shared" si="53"/>
        <v/>
      </c>
      <c r="AO195" s="589"/>
      <c r="AP195" s="39"/>
      <c r="AQ195" s="39"/>
      <c r="AR195" s="39"/>
      <c r="AS195" s="400"/>
      <c r="AT195" s="17"/>
      <c r="AU195" s="409"/>
      <c r="AV195" s="589"/>
      <c r="AW195" s="39"/>
      <c r="AX195" s="39"/>
      <c r="AY195" s="136"/>
      <c r="AZ195" s="146"/>
      <c r="BA195" s="8"/>
      <c r="BB195" s="412"/>
      <c r="BE195" s="143"/>
      <c r="BF195" s="1115" t="s">
        <v>477</v>
      </c>
      <c r="BG195" t="s">
        <v>484</v>
      </c>
    </row>
    <row r="196" spans="1:59" ht="18.600000000000001" customHeight="1" x14ac:dyDescent="0.25">
      <c r="A196" s="5"/>
      <c r="B196" s="11">
        <v>-78.464297000000002</v>
      </c>
      <c r="C196" s="11">
        <v>38.054340000000003</v>
      </c>
      <c r="D196" s="26">
        <v>1</v>
      </c>
      <c r="E196" s="1048" t="s">
        <v>289</v>
      </c>
      <c r="F196" s="1048" t="s">
        <v>485</v>
      </c>
      <c r="G196" s="1048" t="s">
        <v>352</v>
      </c>
      <c r="H196" s="1021"/>
      <c r="I196" s="1021"/>
      <c r="J196" s="1048"/>
      <c r="K196" s="11">
        <v>0.27</v>
      </c>
      <c r="L196" s="11"/>
      <c r="M196" s="11">
        <v>0.11</v>
      </c>
      <c r="N196" s="11">
        <v>0.11</v>
      </c>
      <c r="O196" s="7">
        <f>+M196/K196</f>
        <v>0.40740740740740738</v>
      </c>
      <c r="P196" s="7">
        <f>+N196/K196</f>
        <v>0.40740740740740738</v>
      </c>
      <c r="Q196" s="8"/>
      <c r="R196" s="8"/>
      <c r="S196" s="8"/>
      <c r="T196" s="8">
        <f>IF(J195="TT",IF(F195="u/g detention",(43*0.9*(0.05+0.9*P196)*0.26*$K196*2.72/12)-AK194,(43*0.9*(0.05+0.9*P196)*0.26*$K196*2.72/12)-AK195),43*0.9*(0.05+0.9*P196)*0.26*$K196*2.72/12)</f>
        <v>0.256581</v>
      </c>
      <c r="U196" s="8">
        <f>T196*5.2</f>
        <v>1.3342212</v>
      </c>
      <c r="V196" s="8">
        <f>T196*420.9</f>
        <v>107.9949429</v>
      </c>
      <c r="W196" s="8"/>
      <c r="X196" s="34" t="s">
        <v>278</v>
      </c>
      <c r="Y196" s="257" t="s">
        <v>295</v>
      </c>
      <c r="Z196" s="257">
        <v>5.78</v>
      </c>
      <c r="AA196" s="258">
        <f>IF(Y196="NA", 0, (Y196/43560)*12/Z196)</f>
        <v>0</v>
      </c>
      <c r="AB196" s="742" t="s">
        <v>279</v>
      </c>
      <c r="AC196" s="288">
        <f t="shared" si="52"/>
        <v>0.45</v>
      </c>
      <c r="AD196" s="742">
        <f t="shared" si="66"/>
        <v>0.11546145000000001</v>
      </c>
      <c r="AE196" s="134">
        <f>IF(ISNA(VLOOKUP(H196,'Efficiency Lookup'!$B$2:$C$38,2,FALSE)),0,(VLOOKUP(H196,'Efficiency Lookup'!$B$2:$C$38,2,FALSE)))</f>
        <v>0</v>
      </c>
      <c r="AF196" s="133">
        <f>T196*AE196</f>
        <v>0</v>
      </c>
      <c r="AG196" s="134">
        <f>IF(ISNA(VLOOKUP(I196,'Efficiency Lookup'!$D$2:$E$35,2,FALSE)),0,VLOOKUP(I196,'Efficiency Lookup'!$D$2:$E$35,2,FALSE))</f>
        <v>0</v>
      </c>
      <c r="AH196" s="133">
        <f>T196*AG196</f>
        <v>0</v>
      </c>
      <c r="AI196" s="132">
        <f>IF(X196="RR",IF((0.0304*(AA196^5)-0.2619*(AA196^4)+0.9161*(AA196^3)-1.6837*(AA196^2)+1.7072*AA196-0.0091)&gt;0.85,0.85,IF((0.0304*(AA196^5)-0.2619*(AA196^4)+0.9161*(AA196^3)-1.6837*(AA196^2)+1.7072*AA196-0.0091)&lt;0,0,(0.0304*(AA196^5)-0.2619*(AA196^4)+0.9161*(AA196^3)-1.6837*(AA196^2)+1.7072*AA196-0.0091))),IF((0.0239*(AA196^5)-0.2058*(AA196^4)+0.7198*(AA196^3)-1.3229*(AA196^2)+1.3414*AA196-0.0072)&gt;0.65,0.65,IF((0.0239*(AA196^5)-0.2058*(AA196^4)+0.7198*(AA196^3)-1.3229*(AA196^2)+1.3414*AA196-0.0072)&lt;0,0,(0.0239*(AA196^5)-0.2058*(AA196^4)+0.7198*(AA196^3)-1.3229*(AA196^2)+1.3414*AA196-0.0072))))</f>
        <v>0</v>
      </c>
      <c r="AJ196" s="133">
        <f>T196*AI196</f>
        <v>0</v>
      </c>
      <c r="AK196" s="516">
        <f t="shared" si="53"/>
        <v>0.11546145000000001</v>
      </c>
      <c r="AL196" s="34">
        <f>AK196</f>
        <v>0.11546145000000001</v>
      </c>
      <c r="AM196" s="313">
        <f>AL196-W195</f>
        <v>-4.8750389999999991E-2</v>
      </c>
      <c r="AN196" s="288">
        <f>AM196/AL196</f>
        <v>-0.42222222222222211</v>
      </c>
      <c r="AO196" s="147">
        <f>IF(ISNA(VLOOKUP(I196,'Efficiency Lookup'!$D$2:$G$35,3,FALSE)),0,VLOOKUP(I196,'Efficiency Lookup'!$D$2:$G$35,3,FALSE))</f>
        <v>0</v>
      </c>
      <c r="AP196" s="34">
        <f>U196*AO196</f>
        <v>0</v>
      </c>
      <c r="AQ196" s="134">
        <f>IF(X196="RR",IF((0.0308*(AA196^5)-0.2562*(AA196^4)+0.8634*(AA196^3)-1.5285*(AA196^2)+1.501*AA196-0.013)&gt;0.7,0.7,IF((0.0308*(AA196^5)-0.2562*(AA196^4)+0.8634*(AA196^3)-1.5285*(AA196^2)+1.501*AA196-0.013)&lt;0,0,(0.0308*(AA196^5)-0.2562*(AA196^4)+0.8634*(AA196^3)-1.5285*(AA196^2)+1.501*AA196-0.013))),IF((0.0152*(AA196^5)-0.131*(AA196^4)+0.4581*(AA196^3)-0.8418*(AA196^2)+0.8536*AA196-0.0046)&gt;0.65,0.65,IF((0.0152*(AA196^5)-0.131*(AA196^4)+0.4581*(AA196^3)-0.8418*(AA196^2)+0.8536*AA196-0.0046)&lt;0,0,(0.0152*(AA196^5)-0.131*(AA196^4)+0.4581*(AA196^3)-0.8418*(AA196^2)+0.8536*AA196-0.0046))))</f>
        <v>0</v>
      </c>
      <c r="AR196" s="133">
        <f>U196*AQ196</f>
        <v>0</v>
      </c>
      <c r="AS196" s="400">
        <f>IF(AK196=AF196,MAX(AP196,AR196),IF(AK196=AH196,AP196,AR196))</f>
        <v>0</v>
      </c>
      <c r="AT196" s="313">
        <f>AS196</f>
        <v>0</v>
      </c>
      <c r="AU196" s="313">
        <f>AT196*AN196</f>
        <v>0</v>
      </c>
      <c r="AV196" s="147">
        <f>IF(ISNA(VLOOKUP(I196,'Efficiency Lookup'!$D$2:$G$35,4,FALSE)),0,VLOOKUP(I196,'Efficiency Lookup'!$D$2:$G$35,4,FALSE))</f>
        <v>0</v>
      </c>
      <c r="AW196" s="34">
        <f>$V196*AV196</f>
        <v>0</v>
      </c>
      <c r="AX196" s="134">
        <f>IF(X196="RR",IF((0.0326*(AA196^5)-0.2806*(AA196^4)+0.9816*(AA196^3)-1.8039*(AA196^2)+1.8292*AA196-0.0098)&gt;0.85,0.85,IF((0.0326*(AA196^5)-0.2806*(AA196^4)+0.9816*(AA196^3)-1.8039*(AA196^2)+1.8292*AA196-0.0098)&lt;0,0,(0.0326*(AA196^5)-0.2806*(AA196^4)+0.9816*(AA196^3)-1.8039*(AA196^2)+1.8292*AA196-0.0098))),IF((0.0304*(AA196^5)-0.2619*(AA196^4)+0.9161*(AA196^3)-1.6837*(AA196^2)+1.7072*AA196-0.0091)&gt;0.8,0.8,IF((0.0304*(AA196^5)-0.2619*(AA196^4)+0.9161*(AA196^3)-1.6837*(AA196^2)+1.7072*AA196-0.0091)&lt;0,0,(0.0304*(AA196^5)-0.2619*(AA196^4)+0.9161*(AA196^3)-1.6837*(AA196^2)+1.7072*AA196-0.0091))))</f>
        <v>0</v>
      </c>
      <c r="AY196" s="137">
        <f>$V196*AX196</f>
        <v>0</v>
      </c>
      <c r="AZ196" s="400">
        <f>IF(AS196=AP196,AW196,AY196)</f>
        <v>0</v>
      </c>
      <c r="BA196" s="313">
        <f>AZ196</f>
        <v>0</v>
      </c>
      <c r="BB196" s="401">
        <f>BA196*AN196</f>
        <v>0</v>
      </c>
      <c r="BC196" s="318">
        <f>AM196</f>
        <v>-4.8750389999999991E-2</v>
      </c>
      <c r="BD196" s="318">
        <f>AU196</f>
        <v>0</v>
      </c>
      <c r="BE196" s="332">
        <f>BB196</f>
        <v>0</v>
      </c>
      <c r="BF196" s="1115"/>
      <c r="BG196" t="s">
        <v>287</v>
      </c>
    </row>
    <row r="197" spans="1:59" s="268" customFormat="1" ht="18.600000000000001" customHeight="1" x14ac:dyDescent="0.25">
      <c r="A197" s="269"/>
      <c r="B197" s="281"/>
      <c r="C197" s="281"/>
      <c r="D197" s="281"/>
      <c r="E197" s="262"/>
      <c r="F197" s="262"/>
      <c r="G197" s="262"/>
      <c r="H197" s="263"/>
      <c r="I197" s="263"/>
      <c r="J197" s="262"/>
      <c r="K197" s="271"/>
      <c r="L197" s="271"/>
      <c r="M197" s="271"/>
      <c r="N197" s="271"/>
      <c r="O197" s="273"/>
      <c r="P197" s="273"/>
      <c r="Q197" s="264"/>
      <c r="R197" s="264"/>
      <c r="S197" s="264"/>
      <c r="T197" s="264"/>
      <c r="U197" s="264"/>
      <c r="V197" s="264"/>
      <c r="W197" s="264"/>
      <c r="X197" s="264"/>
      <c r="Y197" s="265"/>
      <c r="Z197" s="265"/>
      <c r="AA197" s="321"/>
      <c r="AB197" s="747" t="s">
        <v>297</v>
      </c>
      <c r="AC197" s="751" t="str">
        <f t="shared" si="52"/>
        <v/>
      </c>
      <c r="AD197" s="303" t="str">
        <f t="shared" si="66"/>
        <v/>
      </c>
      <c r="AE197" s="274"/>
      <c r="AF197" s="266"/>
      <c r="AG197" s="303"/>
      <c r="AH197" s="274"/>
      <c r="AI197" s="303"/>
      <c r="AJ197" s="274"/>
      <c r="AK197" s="325" t="str">
        <f t="shared" si="53"/>
        <v/>
      </c>
      <c r="AO197" s="329"/>
      <c r="AP197" s="274"/>
      <c r="AQ197" s="303"/>
      <c r="AR197" s="274"/>
      <c r="AS197" s="587"/>
      <c r="AT197" s="379"/>
      <c r="AU197" s="408"/>
      <c r="AV197" s="329"/>
      <c r="AW197" s="303"/>
      <c r="AX197" s="303"/>
      <c r="AY197" s="285"/>
      <c r="AZ197" s="280"/>
      <c r="BA197" s="264"/>
      <c r="BB197" s="411"/>
      <c r="BE197" s="331"/>
      <c r="BF197" s="277"/>
    </row>
    <row r="198" spans="1:59" s="393" customFormat="1" ht="18.600000000000001" customHeight="1" x14ac:dyDescent="0.25">
      <c r="A198" s="384" t="s">
        <v>486</v>
      </c>
      <c r="B198" s="384"/>
      <c r="C198" s="384"/>
      <c r="D198" s="1108"/>
      <c r="E198" s="1109"/>
      <c r="F198" s="1013"/>
      <c r="G198" s="1013"/>
      <c r="H198" s="385"/>
      <c r="I198" s="385"/>
      <c r="J198" s="1013"/>
      <c r="K198" s="384">
        <v>18.46</v>
      </c>
      <c r="L198" s="384"/>
      <c r="M198" s="384">
        <v>0.36</v>
      </c>
      <c r="N198" s="386">
        <v>5.83</v>
      </c>
      <c r="O198" s="387">
        <f t="shared" ref="O198:O204" si="67">+M198/K198</f>
        <v>1.9501625135427952E-2</v>
      </c>
      <c r="P198" s="387">
        <f t="shared" ref="P198:P204" si="68">+N198/K198</f>
        <v>0.31581798483206935</v>
      </c>
      <c r="Q198" s="388">
        <f>43*0.9*(0.05+0.9*0.16)*0.26*$K198*2.72/12</f>
        <v>8.1678056928</v>
      </c>
      <c r="R198" s="389">
        <f>43*0.9*(0.05+0.9*O198)*0.26*$K198*2.72/12</f>
        <v>2.8440578400000009</v>
      </c>
      <c r="S198" s="388">
        <f>IF(J198="R",R198,Q198)</f>
        <v>8.1678056928</v>
      </c>
      <c r="T198" s="388">
        <f>43*0.9*(0.05+0.9*P198)*0.26*$K198*2.72/12</f>
        <v>14.072042400000006</v>
      </c>
      <c r="U198" s="388">
        <f t="shared" ref="U198:U204" si="69">T198*5.2</f>
        <v>73.17462048000003</v>
      </c>
      <c r="V198" s="388">
        <f t="shared" ref="V198:V204" si="70">T198*420.9</f>
        <v>5922.9226461600019</v>
      </c>
      <c r="W198" s="388">
        <f>IF(P198 &lt; 16%, 0, IF(K198 &lt; 1, 0, T198-S198))</f>
        <v>5.9042367072000062</v>
      </c>
      <c r="X198" s="388"/>
      <c r="Y198" s="390"/>
      <c r="Z198" s="390"/>
      <c r="AA198" s="397"/>
      <c r="AB198" s="749" t="s">
        <v>297</v>
      </c>
      <c r="AC198" s="755" t="str">
        <f t="shared" si="52"/>
        <v/>
      </c>
      <c r="AD198" s="389" t="str">
        <f t="shared" si="66"/>
        <v/>
      </c>
      <c r="AE198" s="593"/>
      <c r="AF198" s="392"/>
      <c r="AG198" s="389"/>
      <c r="AH198" s="593"/>
      <c r="AI198" s="389"/>
      <c r="AJ198" s="593"/>
      <c r="AK198" s="398" t="str">
        <f t="shared" si="53"/>
        <v/>
      </c>
      <c r="AO198" s="588"/>
      <c r="AP198" s="389"/>
      <c r="AQ198" s="389"/>
      <c r="AR198" s="389"/>
      <c r="AS198" s="597"/>
      <c r="AT198" s="598"/>
      <c r="AU198" s="413"/>
      <c r="AV198" s="588"/>
      <c r="AW198" s="389"/>
      <c r="AX198" s="389"/>
      <c r="AY198" s="395"/>
      <c r="AZ198" s="391"/>
      <c r="BA198" s="388"/>
      <c r="BB198" s="414"/>
      <c r="BE198" s="396"/>
      <c r="BG198" s="393" t="s">
        <v>487</v>
      </c>
    </row>
    <row r="199" spans="1:59" s="349" customFormat="1" ht="18.600000000000001" customHeight="1" x14ac:dyDescent="0.25">
      <c r="A199" s="340" t="s">
        <v>488</v>
      </c>
      <c r="B199" s="340"/>
      <c r="C199" s="814"/>
      <c r="D199" s="1110"/>
      <c r="E199" s="1110"/>
      <c r="F199" s="1038"/>
      <c r="G199" s="1038"/>
      <c r="H199" s="341"/>
      <c r="I199" s="341"/>
      <c r="J199" s="1038"/>
      <c r="K199" s="340">
        <v>6.79</v>
      </c>
      <c r="L199" s="340"/>
      <c r="M199" s="340">
        <v>0.45</v>
      </c>
      <c r="N199" s="342">
        <v>2.36</v>
      </c>
      <c r="O199" s="343">
        <f t="shared" si="67"/>
        <v>6.6273932253313697E-2</v>
      </c>
      <c r="P199" s="343">
        <f t="shared" si="68"/>
        <v>0.34756995581737848</v>
      </c>
      <c r="Q199" s="344">
        <f>43*0.9*(0.05+0.9*0.16)*0.26*$K199*2.72/12</f>
        <v>3.0043012272000005</v>
      </c>
      <c r="R199" s="366">
        <f>43*0.9*(0.05+0.9*O199)*0.26*$K199*2.72/12</f>
        <v>1.6979960400000003</v>
      </c>
      <c r="S199" s="344">
        <f>IF(J199="R",R199,Q199)</f>
        <v>3.0043012272000005</v>
      </c>
      <c r="T199" s="344">
        <f>43*0.9*(0.05+0.9*P199)*0.26*$K199*2.72/12</f>
        <v>5.6185537200000004</v>
      </c>
      <c r="U199" s="344">
        <f t="shared" si="69"/>
        <v>29.216479344000003</v>
      </c>
      <c r="V199" s="344">
        <f t="shared" si="70"/>
        <v>2364.8492607480002</v>
      </c>
      <c r="W199" s="344">
        <f>IF(P199 &lt; 16%, 0, IF(K199 &lt; 1, 0, T199-S199))</f>
        <v>2.6142524927999999</v>
      </c>
      <c r="X199" s="344"/>
      <c r="Y199" s="345"/>
      <c r="Z199" s="345"/>
      <c r="AA199" s="369"/>
      <c r="AB199" s="745" t="s">
        <v>297</v>
      </c>
      <c r="AC199" s="752" t="str">
        <f t="shared" si="52"/>
        <v/>
      </c>
      <c r="AD199" s="366" t="str">
        <f t="shared" si="66"/>
        <v/>
      </c>
      <c r="AE199" s="347"/>
      <c r="AF199" s="348"/>
      <c r="AG199" s="366"/>
      <c r="AH199" s="347"/>
      <c r="AI199" s="366"/>
      <c r="AJ199" s="347"/>
      <c r="AK199" s="364" t="str">
        <f t="shared" si="53"/>
        <v/>
      </c>
      <c r="AO199" s="600"/>
      <c r="AP199" s="366"/>
      <c r="AQ199" s="366"/>
      <c r="AR199" s="366"/>
      <c r="AS199" s="402"/>
      <c r="AT199" s="595"/>
      <c r="AU199" s="405"/>
      <c r="AV199" s="600"/>
      <c r="AW199" s="366"/>
      <c r="AX199" s="366"/>
      <c r="AY199" s="603"/>
      <c r="AZ199" s="363"/>
      <c r="BA199" s="344"/>
      <c r="BB199" s="655"/>
      <c r="BE199" s="352"/>
      <c r="BF199" s="656"/>
      <c r="BG199" s="349" t="s">
        <v>489</v>
      </c>
    </row>
    <row r="200" spans="1:59" ht="18.600000000000001" customHeight="1" x14ac:dyDescent="0.25">
      <c r="A200" s="11" t="s">
        <v>490</v>
      </c>
      <c r="B200" s="11"/>
      <c r="C200" s="11"/>
      <c r="D200" s="1111" t="s">
        <v>271</v>
      </c>
      <c r="E200" s="1111"/>
      <c r="F200" s="1019"/>
      <c r="G200" s="1019"/>
      <c r="H200" s="1021"/>
      <c r="I200" s="1021"/>
      <c r="J200" s="1019"/>
      <c r="K200" s="11">
        <v>25.24</v>
      </c>
      <c r="L200" s="11"/>
      <c r="M200" s="11">
        <f>SUM(M198:M199)</f>
        <v>0.81</v>
      </c>
      <c r="N200" s="9">
        <f>SUM(N198:N199)</f>
        <v>8.19</v>
      </c>
      <c r="O200" s="7">
        <f t="shared" si="67"/>
        <v>3.2091917591125202E-2</v>
      </c>
      <c r="P200" s="7">
        <f t="shared" si="68"/>
        <v>0.32448494453248811</v>
      </c>
      <c r="Q200" s="8">
        <f>43*0.9*(0.05+0.9*0.16)*0.26*$K200*2.72/12</f>
        <v>11.167682323199999</v>
      </c>
      <c r="R200" s="39">
        <f>43*0.9*(0.05+0.9*O200)*0.26*$K200*2.72/12</f>
        <v>4.540913520000001</v>
      </c>
      <c r="S200" s="8">
        <f>IF(J200="R",R200,Q200)</f>
        <v>11.167682323199999</v>
      </c>
      <c r="T200" s="8">
        <f>IF(J199="TT",IF(F199="u/g detention",(43*0.9*(0.05+0.9*P200)*0.26*$K200*2.72/12)-AK198,(43*0.9*(0.05+0.9*P200)*0.26*$K200*2.72/12)-AK199),43*0.9*(0.05+0.9*P200)*0.26*$K200*2.72/12)</f>
        <v>19.689455760000001</v>
      </c>
      <c r="U200" s="8">
        <f t="shared" si="69"/>
        <v>102.38516995200001</v>
      </c>
      <c r="V200" s="8">
        <f t="shared" si="70"/>
        <v>8287.2919293840005</v>
      </c>
      <c r="W200" s="8">
        <f>IF(P200 &lt; 16%, 0, IF(K200 &lt; 1, 0, T200-S200))</f>
        <v>8.521773436800002</v>
      </c>
      <c r="X200" s="8"/>
      <c r="Y200" s="257"/>
      <c r="Z200" s="257"/>
      <c r="AA200" s="258"/>
      <c r="AB200" s="742" t="s">
        <v>297</v>
      </c>
      <c r="AC200" s="750" t="str">
        <f t="shared" si="52"/>
        <v/>
      </c>
      <c r="AD200" s="39" t="str">
        <f t="shared" si="66"/>
        <v/>
      </c>
      <c r="AE200" s="133"/>
      <c r="AF200" s="34"/>
      <c r="AG200" s="39"/>
      <c r="AH200" s="133"/>
      <c r="AI200" s="39"/>
      <c r="AJ200" s="133"/>
      <c r="AK200" s="327" t="str">
        <f t="shared" si="53"/>
        <v/>
      </c>
      <c r="AO200" s="589"/>
      <c r="AP200" s="39"/>
      <c r="AQ200" s="39"/>
      <c r="AR200" s="39"/>
      <c r="AS200" s="400"/>
      <c r="AT200" s="17"/>
      <c r="AU200" s="407"/>
      <c r="AV200" s="589"/>
      <c r="AW200" s="39"/>
      <c r="AX200" s="39"/>
      <c r="AY200" s="136"/>
      <c r="AZ200" s="146"/>
      <c r="BA200" s="8"/>
      <c r="BB200" s="412"/>
      <c r="BE200" s="143"/>
      <c r="BF200" s="415" t="s">
        <v>452</v>
      </c>
      <c r="BG200" t="s">
        <v>491</v>
      </c>
    </row>
    <row r="201" spans="1:59" ht="18.600000000000001" customHeight="1" x14ac:dyDescent="0.25">
      <c r="A201" s="10" t="s">
        <v>492</v>
      </c>
      <c r="B201" s="11">
        <v>-78.448435000000003</v>
      </c>
      <c r="C201" s="11">
        <v>38.130704000000001</v>
      </c>
      <c r="D201" s="26">
        <v>403.04</v>
      </c>
      <c r="E201" s="1048" t="s">
        <v>281</v>
      </c>
      <c r="F201" s="1048" t="s">
        <v>342</v>
      </c>
      <c r="G201" s="1048"/>
      <c r="H201" s="1021" t="s">
        <v>343</v>
      </c>
      <c r="I201" s="1021" t="s">
        <v>315</v>
      </c>
      <c r="J201" s="1048"/>
      <c r="K201" s="11">
        <v>2.08</v>
      </c>
      <c r="L201" s="11"/>
      <c r="M201" s="11">
        <v>0</v>
      </c>
      <c r="N201" s="11">
        <v>0.95</v>
      </c>
      <c r="O201" s="7">
        <f t="shared" si="67"/>
        <v>0</v>
      </c>
      <c r="P201" s="7">
        <f t="shared" si="68"/>
        <v>0.45673076923076922</v>
      </c>
      <c r="Q201" s="8"/>
      <c r="R201" s="8"/>
      <c r="S201" s="8"/>
      <c r="T201" s="8">
        <f>IF(J200="TT",IF(F200="u/g detention",(43*0.9*(0.05+0.9*P201)*0.26*$K201*2.72/12)-AK199,(43*0.9*(0.05+0.9*P201)*0.26*$K201*2.72/12)-AK200),43*0.9*(0.05+0.9*P201)*0.26*$K201*2.72/12)</f>
        <v>2.1872104800000005</v>
      </c>
      <c r="U201" s="8">
        <f t="shared" si="69"/>
        <v>11.373494496000003</v>
      </c>
      <c r="V201" s="8">
        <f t="shared" si="70"/>
        <v>920.59689103200014</v>
      </c>
      <c r="W201" s="8"/>
      <c r="X201" s="36" t="s">
        <v>285</v>
      </c>
      <c r="Y201" s="257">
        <v>4187</v>
      </c>
      <c r="Z201" s="257">
        <v>0.95</v>
      </c>
      <c r="AA201" s="258">
        <f>IF(Y201="NA", 0, (Y201/43560)*12/Z201)</f>
        <v>1.2141510801797881</v>
      </c>
      <c r="AB201" s="742" t="s">
        <v>279</v>
      </c>
      <c r="AC201" s="134" t="str">
        <f t="shared" si="52"/>
        <v>NA</v>
      </c>
      <c r="AD201" s="741">
        <f t="shared" si="66"/>
        <v>0</v>
      </c>
      <c r="AE201" s="134">
        <f>IF(ISNA(VLOOKUP(H201,'Efficiency Lookup'!$B$2:$C$38,2,FALSE)),0,(VLOOKUP(H201,'Efficiency Lookup'!$B$2:$C$38,2,FALSE)))</f>
        <v>0.5</v>
      </c>
      <c r="AF201" s="133">
        <f>T201*AE201</f>
        <v>1.0936052400000003</v>
      </c>
      <c r="AG201" s="135">
        <f>IF(ISNA(VLOOKUP(I201,'Efficiency Lookup'!$D$2:$E$35,2,FALSE)),0,VLOOKUP(I201,'Efficiency Lookup'!$D$2:$E$35,2,FALSE))</f>
        <v>0.75</v>
      </c>
      <c r="AH201" s="34">
        <f>T201*AG201</f>
        <v>1.6404078600000003</v>
      </c>
      <c r="AI201" s="132">
        <f>IF(X201="RR",IF((0.0304*(AA201^5)-0.2619*(AA201^4)+0.9161*(AA201^3)-1.6837*(AA201^2)+1.7072*AA201-0.0091)&gt;0.85,0.85,IF((0.0304*(AA201^5)-0.2619*(AA201^4)+0.9161*(AA201^3)-1.6837*(AA201^2)+1.7072*AA201-0.0091)&lt;0,0,(0.0304*(AA201^5)-0.2619*(AA201^4)+0.9161*(AA201^3)-1.6837*(AA201^2)+1.7072*AA201-0.0091))),IF((0.0239*(AA201^5)-0.2058*(AA201^4)+0.7198*(AA201^3)-1.3229*(AA201^2)+1.3414*AA201-0.0072)&gt;0.65,0.65,IF((0.0239*(AA201^5)-0.2058*(AA201^4)+0.7198*(AA201^3)-1.3229*(AA201^2)+1.3414*AA201-0.0072)&lt;0,0,(0.0239*(AA201^5)-0.2058*(AA201^4)+0.7198*(AA201^3)-1.3229*(AA201^2)+1.3414*AA201-0.0072))))</f>
        <v>0.7324002286754242</v>
      </c>
      <c r="AJ201" s="133">
        <f>T201*AI201</f>
        <v>1.6019134557132848</v>
      </c>
      <c r="AK201" s="516">
        <f t="shared" si="53"/>
        <v>1.6404078600000003</v>
      </c>
      <c r="AL201" s="1100">
        <f>SUM(AK201:AK204)</f>
        <v>12.337041678000002</v>
      </c>
      <c r="AM201" s="1100">
        <f>AL201-W200</f>
        <v>3.8152682412000001</v>
      </c>
      <c r="AN201" s="1112">
        <f>AM201/AL201</f>
        <v>0.30925308844530919</v>
      </c>
      <c r="AO201" s="147">
        <f>IF(ISNA(VLOOKUP(I201,'Efficiency Lookup'!$D$2:$G$35,3,FALSE)),0,VLOOKUP(I201,'Efficiency Lookup'!$D$2:$G$35,3,FALSE))</f>
        <v>0.7</v>
      </c>
      <c r="AP201" s="34">
        <f>U201*AO201</f>
        <v>7.9614461472000011</v>
      </c>
      <c r="AQ201" s="134">
        <f>IF(X201="RR",IF((0.0308*(AA201^5)-0.2562*(AA201^4)+0.8634*(AA201^3)-1.5285*(AA201^2)+1.501*AA201-0.013)&gt;0.7,0.7,IF((0.0308*(AA201^5)-0.2562*(AA201^4)+0.8634*(AA201^3)-1.5285*(AA201^2)+1.501*AA201-0.013)&lt;0,0,(0.0308*(AA201^5)-0.2562*(AA201^4)+0.8634*(AA201^3)-1.5285*(AA201^2)+1.501*AA201-0.013))),IF((0.0152*(AA201^5)-0.131*(AA201^4)+0.4581*(AA201^3)-0.8418*(AA201^2)+0.8536*AA201-0.0046)&gt;0.65,0.65,IF((0.0152*(AA201^5)-0.131*(AA201^4)+0.4581*(AA201^3)-0.8418*(AA201^2)+0.8536*AA201-0.0046)&lt;0,0,(0.0152*(AA201^5)-0.131*(AA201^4)+0.4581*(AA201^3)-0.8418*(AA201^2)+0.8536*AA201-0.0046))))</f>
        <v>0.62604932236248223</v>
      </c>
      <c r="AR201" s="133">
        <f>U201*AQ201</f>
        <v>7.120368522114223</v>
      </c>
      <c r="AS201" s="400">
        <f>IF(AK201=AF201,MAX(AP201,AR201),IF(AK201=AH201,AP201,AR201))</f>
        <v>7.9614461472000011</v>
      </c>
      <c r="AT201" s="1100">
        <f>SUM(AS201:AS204)</f>
        <v>63.183082653600017</v>
      </c>
      <c r="AU201" s="1104">
        <f>AT201*AN201</f>
        <v>19.539563448121047</v>
      </c>
      <c r="AV201" s="147">
        <f>IF(ISNA(VLOOKUP(I201,'Efficiency Lookup'!$D$2:$G$35,4,FALSE)),0,VLOOKUP(I201,'Efficiency Lookup'!$D$2:$G$35,4,FALSE))</f>
        <v>0.8</v>
      </c>
      <c r="AW201" s="34">
        <f>$V201*AV201</f>
        <v>736.47751282560012</v>
      </c>
      <c r="AX201" s="134">
        <f>IF(X201="RR",IF((0.0326*(AA201^5)-0.2806*(AA201^4)+0.9816*(AA201^3)-1.8039*(AA201^2)+1.8292*AA201-0.0098)&gt;0.85,0.85,IF((0.0326*(AA201^5)-0.2806*(AA201^4)+0.9816*(AA201^3)-1.8039*(AA201^2)+1.8292*AA201-0.0098)&lt;0,0,(0.0326*(AA201^5)-0.2806*(AA201^4)+0.9816*(AA201^3)-1.8039*(AA201^2)+1.8292*AA201-0.0098))),IF((0.0304*(AA201^5)-0.2619*(AA201^4)+0.9161*(AA201^3)-1.6837*(AA201^2)+1.7072*AA201-0.0091)&gt;0.8,0.8,IF((0.0304*(AA201^5)-0.2619*(AA201^4)+0.9161*(AA201^3)-1.6837*(AA201^2)+1.7072*AA201-0.0091)&lt;0,0,(0.0304*(AA201^5)-0.2619*(AA201^4)+0.9161*(AA201^3)-1.6837*(AA201^2)+1.7072*AA201-0.0091))))</f>
        <v>0.78503464999029648</v>
      </c>
      <c r="AY201" s="137">
        <f>$V201*AX201</f>
        <v>722.70045813346132</v>
      </c>
      <c r="AZ201" s="400">
        <f>IF(AS201=AP201,AW201,AY201)</f>
        <v>736.47751282560012</v>
      </c>
      <c r="BA201" s="1100">
        <f>SUM(AZ201:AZ204)</f>
        <v>6213.7410279516016</v>
      </c>
      <c r="BB201" s="1104">
        <f>BA201*AN201</f>
        <v>1921.6186036933632</v>
      </c>
      <c r="BC201" s="1105">
        <f>AM201</f>
        <v>3.8152682412000001</v>
      </c>
      <c r="BD201" s="1106">
        <f>AU201</f>
        <v>19.539563448121047</v>
      </c>
      <c r="BE201" s="1107">
        <f>BB201</f>
        <v>1921.6186036933632</v>
      </c>
      <c r="BF201" s="14"/>
      <c r="BG201" t="s">
        <v>287</v>
      </c>
    </row>
    <row r="202" spans="1:59" ht="18.600000000000001" customHeight="1" x14ac:dyDescent="0.25">
      <c r="A202" s="10" t="s">
        <v>493</v>
      </c>
      <c r="B202" s="11">
        <v>-78.448290999999998</v>
      </c>
      <c r="C202" s="11">
        <v>38.131241000000003</v>
      </c>
      <c r="D202" s="26">
        <v>1</v>
      </c>
      <c r="E202" s="1048" t="s">
        <v>274</v>
      </c>
      <c r="F202" s="1048" t="s">
        <v>275</v>
      </c>
      <c r="G202" s="1048"/>
      <c r="H202" s="1021" t="s">
        <v>276</v>
      </c>
      <c r="I202" s="1021" t="s">
        <v>277</v>
      </c>
      <c r="J202" s="1048"/>
      <c r="K202" s="11">
        <v>17.670000000000002</v>
      </c>
      <c r="L202" s="11"/>
      <c r="M202" s="11">
        <v>0.82</v>
      </c>
      <c r="N202" s="11">
        <v>6.54</v>
      </c>
      <c r="O202" s="7">
        <f t="shared" si="67"/>
        <v>4.6406338426711935E-2</v>
      </c>
      <c r="P202" s="7">
        <f t="shared" si="68"/>
        <v>0.37011884550084884</v>
      </c>
      <c r="Q202" s="8"/>
      <c r="R202" s="8"/>
      <c r="S202" s="8"/>
      <c r="T202" s="8">
        <f>IF(J201="TT",IF(F201="u/g detention",(43*0.9*(0.05+0.9*P202)*0.26*$K202*2.72/12)-AK200,(43*0.9*(0.05+0.9*P202)*0.26*$K202*2.72/12)-AK201),43*0.9*(0.05+0.9*P202)*0.26*$K202*2.72/12)</f>
        <v>15.439334040000004</v>
      </c>
      <c r="U202" s="8">
        <f t="shared" si="69"/>
        <v>80.284537008000029</v>
      </c>
      <c r="V202" s="8">
        <f t="shared" si="70"/>
        <v>6498.4156974360012</v>
      </c>
      <c r="W202" s="8"/>
      <c r="X202" s="36" t="s">
        <v>278</v>
      </c>
      <c r="Y202" s="257">
        <v>100651</v>
      </c>
      <c r="Z202" s="257">
        <v>6.54</v>
      </c>
      <c r="AA202" s="258">
        <f>IF(Y202="NA", 0, (Y202/43560)*12/Z202)</f>
        <v>4.2396862705453193</v>
      </c>
      <c r="AB202" s="742" t="s">
        <v>279</v>
      </c>
      <c r="AC202" s="134" t="str">
        <f t="shared" si="52"/>
        <v>NA</v>
      </c>
      <c r="AD202" s="741">
        <f t="shared" si="66"/>
        <v>0</v>
      </c>
      <c r="AE202" s="135">
        <f>IF(ISNA(VLOOKUP(H202,'Efficiency Lookup'!$B$2:$C$38,2,FALSE)),0,(VLOOKUP(H202,'Efficiency Lookup'!$B$2:$C$38,2,FALSE)))</f>
        <v>0.65</v>
      </c>
      <c r="AF202" s="34">
        <f>T202*AE202</f>
        <v>10.035567126000004</v>
      </c>
      <c r="AG202" s="134">
        <f>IF(ISNA(VLOOKUP(I202,'Efficiency Lookup'!$D$2:$E$35,2,FALSE)),0,VLOOKUP(I202,'Efficiency Lookup'!$D$2:$E$35,2,FALSE))</f>
        <v>0.45</v>
      </c>
      <c r="AH202" s="133">
        <f>T202*AG202</f>
        <v>6.9477003180000017</v>
      </c>
      <c r="AI202" s="132">
        <f>IF(X202="RR",IF((0.0304*(AA202^5)-0.2619*(AA202^4)+0.9161*(AA202^3)-1.6837*(AA202^2)+1.7072*AA202-0.0091)&gt;0.85,0.85,IF((0.0304*(AA202^5)-0.2619*(AA202^4)+0.9161*(AA202^3)-1.6837*(AA202^2)+1.7072*AA202-0.0091)&lt;0,0,(0.0304*(AA202^5)-0.2619*(AA202^4)+0.9161*(AA202^3)-1.6837*(AA202^2)+1.7072*AA202-0.0091))),IF((0.0239*(AA202^5)-0.2058*(AA202^4)+0.7198*(AA202^3)-1.3229*(AA202^2)+1.3414*AA202-0.0072)&gt;0.65,0.65,IF((0.0239*(AA202^5)-0.2058*(AA202^4)+0.7198*(AA202^3)-1.3229*(AA202^2)+1.3414*AA202-0.0072)&lt;0,0,(0.0239*(AA202^5)-0.2058*(AA202^4)+0.7198*(AA202^3)-1.3229*(AA202^2)+1.3414*AA202-0.0072))))</f>
        <v>0.65</v>
      </c>
      <c r="AJ202" s="133">
        <f>T202*AI202</f>
        <v>10.035567126000004</v>
      </c>
      <c r="AK202" s="516">
        <f t="shared" si="53"/>
        <v>10.035567126000004</v>
      </c>
      <c r="AL202" s="1100"/>
      <c r="AM202" s="1100"/>
      <c r="AN202" s="1112"/>
      <c r="AO202" s="138">
        <f>IF(ISNA(VLOOKUP(I202,'Efficiency Lookup'!$D$2:$G$35,3,FALSE)),0,VLOOKUP(I202,'Efficiency Lookup'!$D$2:$G$35,3,FALSE))</f>
        <v>0.2</v>
      </c>
      <c r="AP202" s="133">
        <f>U202*AO202</f>
        <v>16.056907401600007</v>
      </c>
      <c r="AQ202" s="135">
        <f>IF(X202="RR",IF((0.0308*(AA202^5)-0.2562*(AA202^4)+0.8634*(AA202^3)-1.5285*(AA202^2)+1.501*AA202-0.013)&gt;0.7,0.7,IF((0.0308*(AA202^5)-0.2562*(AA202^4)+0.8634*(AA202^3)-1.5285*(AA202^2)+1.501*AA202-0.013)&lt;0,0,(0.0308*(AA202^5)-0.2562*(AA202^4)+0.8634*(AA202^3)-1.5285*(AA202^2)+1.501*AA202-0.013))),IF((0.0152*(AA202^5)-0.131*(AA202^4)+0.4581*(AA202^3)-0.8418*(AA202^2)+0.8536*AA202-0.0046)&gt;0.65,0.65,IF((0.0152*(AA202^5)-0.131*(AA202^4)+0.4581*(AA202^3)-0.8418*(AA202^2)+0.8536*AA202-0.0046)&lt;0,0,(0.0152*(AA202^5)-0.131*(AA202^4)+0.4581*(AA202^3)-0.8418*(AA202^2)+0.8536*AA202-0.0046))))</f>
        <v>0.65</v>
      </c>
      <c r="AR202" s="34">
        <f>U202*AQ202</f>
        <v>52.184949055200022</v>
      </c>
      <c r="AS202" s="400">
        <f>IF(AK202=AF202,MAX(AP202,AR202),IF(AK202=AH202,AP202,AR202))</f>
        <v>52.184949055200022</v>
      </c>
      <c r="AT202" s="1100"/>
      <c r="AU202" s="1104"/>
      <c r="AV202" s="138">
        <f>IF(ISNA(VLOOKUP(I202,'Efficiency Lookup'!$D$2:$G$35,4,FALSE)),0,VLOOKUP(I202,'Efficiency Lookup'!$D$2:$G$35,4,FALSE))</f>
        <v>0.6</v>
      </c>
      <c r="AW202" s="133">
        <f>$V202*AV202</f>
        <v>3899.0494184616005</v>
      </c>
      <c r="AX202" s="135">
        <f>IF(X202="RR",IF((0.0326*(AA202^5)-0.2806*(AA202^4)+0.9816*(AA202^3)-1.8039*(AA202^2)+1.8292*AA202-0.0098)&gt;0.85,0.85,IF((0.0326*(AA202^5)-0.2806*(AA202^4)+0.9816*(AA202^3)-1.8039*(AA202^2)+1.8292*AA202-0.0098)&lt;0,0,(0.0326*(AA202^5)-0.2806*(AA202^4)+0.9816*(AA202^3)-1.8039*(AA202^2)+1.8292*AA202-0.0098))),IF((0.0304*(AA202^5)-0.2619*(AA202^4)+0.9161*(AA202^3)-1.6837*(AA202^2)+1.7072*AA202-0.0091)&gt;0.8,0.8,IF((0.0304*(AA202^5)-0.2619*(AA202^4)+0.9161*(AA202^3)-1.6837*(AA202^2)+1.7072*AA202-0.0091)&lt;0,0,(0.0304*(AA202^5)-0.2619*(AA202^4)+0.9161*(AA202^3)-1.6837*(AA202^2)+1.7072*AA202-0.0091))))</f>
        <v>0.8</v>
      </c>
      <c r="AY202" s="144">
        <f>$V202*AX202</f>
        <v>5198.7325579488015</v>
      </c>
      <c r="AZ202" s="400">
        <f>IF(AS202=AP202,AW202,AY202)</f>
        <v>5198.7325579488015</v>
      </c>
      <c r="BA202" s="1100"/>
      <c r="BB202" s="1104"/>
      <c r="BC202" s="1105"/>
      <c r="BD202" s="1106"/>
      <c r="BE202" s="1107"/>
      <c r="BF202" s="14"/>
      <c r="BG202" t="s">
        <v>287</v>
      </c>
    </row>
    <row r="203" spans="1:59" ht="18.600000000000001" customHeight="1" x14ac:dyDescent="0.25">
      <c r="A203" s="10" t="s">
        <v>494</v>
      </c>
      <c r="B203" s="11">
        <v>-78.449952999999994</v>
      </c>
      <c r="C203" s="11">
        <v>38.131281999999999</v>
      </c>
      <c r="D203" s="26">
        <v>1</v>
      </c>
      <c r="E203" s="1048" t="s">
        <v>281</v>
      </c>
      <c r="F203" s="1048" t="s">
        <v>342</v>
      </c>
      <c r="G203" s="1048"/>
      <c r="H203" s="1021" t="s">
        <v>343</v>
      </c>
      <c r="I203" s="1021" t="s">
        <v>315</v>
      </c>
      <c r="J203" s="1048"/>
      <c r="K203" s="11">
        <v>0.28999999999999998</v>
      </c>
      <c r="L203" s="11"/>
      <c r="M203" s="11">
        <v>0</v>
      </c>
      <c r="N203" s="11">
        <v>0.17</v>
      </c>
      <c r="O203" s="7">
        <f t="shared" si="67"/>
        <v>0</v>
      </c>
      <c r="P203" s="7">
        <f t="shared" si="68"/>
        <v>0.5862068965517242</v>
      </c>
      <c r="Q203" s="8"/>
      <c r="R203" s="8"/>
      <c r="S203" s="8"/>
      <c r="T203" s="8">
        <f>IF(J202="TT",IF(F202="u/g detention",(43*0.9*(0.05+0.9*P203)*0.26*$K203*2.72/12)-AK201,(43*0.9*(0.05+0.9*P203)*0.26*$K203*2.72/12)-AK202),43*0.9*(0.05+0.9*P203)*0.26*$K203*2.72/12)</f>
        <v>0.3820206000000001</v>
      </c>
      <c r="U203" s="8">
        <f t="shared" si="69"/>
        <v>1.9865071200000006</v>
      </c>
      <c r="V203" s="8">
        <f t="shared" si="70"/>
        <v>160.79247054000004</v>
      </c>
      <c r="W203" s="8"/>
      <c r="X203" s="34" t="s">
        <v>285</v>
      </c>
      <c r="Y203" s="257">
        <v>2362.8000000000002</v>
      </c>
      <c r="Z203" s="257">
        <v>0.17</v>
      </c>
      <c r="AA203" s="258">
        <f>IF(Y203="NA", 0, (Y203/43560)*12/Z203)</f>
        <v>3.8288770053475933</v>
      </c>
      <c r="AB203" s="742" t="s">
        <v>279</v>
      </c>
      <c r="AC203" s="134" t="str">
        <f t="shared" si="52"/>
        <v>NA</v>
      </c>
      <c r="AD203" s="741">
        <f t="shared" si="66"/>
        <v>0</v>
      </c>
      <c r="AE203" s="134">
        <f>IF(ISNA(VLOOKUP(H203,'Efficiency Lookup'!$B$2:$C$38,2,FALSE)),0,(VLOOKUP(H203,'Efficiency Lookup'!$B$2:$C$38,2,FALSE)))</f>
        <v>0.5</v>
      </c>
      <c r="AF203" s="133">
        <f>T203*AE203</f>
        <v>0.19101030000000005</v>
      </c>
      <c r="AG203" s="134">
        <f>IF(ISNA(VLOOKUP(I203,'Efficiency Lookup'!$D$2:$E$35,2,FALSE)),0,VLOOKUP(I203,'Efficiency Lookup'!$D$2:$E$35,2,FALSE))</f>
        <v>0.75</v>
      </c>
      <c r="AH203" s="133">
        <f>T203*AG203</f>
        <v>0.28651545000000006</v>
      </c>
      <c r="AI203" s="140">
        <f>IF(X203="RR",IF((0.0304*(AA203^5)-0.2619*(AA203^4)+0.9161*(AA203^3)-1.6837*(AA203^2)+1.7072*AA203-0.0091)&gt;0.85,0.85,IF((0.0304*(AA203^5)-0.2619*(AA203^4)+0.9161*(AA203^3)-1.6837*(AA203^2)+1.7072*AA203-0.0091)&lt;0,0,(0.0304*(AA203^5)-0.2619*(AA203^4)+0.9161*(AA203^3)-1.6837*(AA203^2)+1.7072*AA203-0.0091))),IF((0.0239*(AA203^5)-0.2058*(AA203^4)+0.7198*(AA203^3)-1.3229*(AA203^2)+1.3414*AA203-0.0072)&gt;0.65,0.65,IF((0.0239*(AA203^5)-0.2058*(AA203^4)+0.7198*(AA203^3)-1.3229*(AA203^2)+1.3414*AA203-0.0072)&lt;0,0,(0.0239*(AA203^5)-0.2058*(AA203^4)+0.7198*(AA203^3)-1.3229*(AA203^2)+1.3414*AA203-0.0072))))</f>
        <v>0.85</v>
      </c>
      <c r="AJ203" s="34">
        <f>T203*AI203</f>
        <v>0.3247175100000001</v>
      </c>
      <c r="AK203" s="516">
        <f t="shared" si="53"/>
        <v>0.3247175100000001</v>
      </c>
      <c r="AL203" s="1100"/>
      <c r="AM203" s="1100"/>
      <c r="AN203" s="1112"/>
      <c r="AO203" s="138">
        <f>IF(ISNA(VLOOKUP(I203,'Efficiency Lookup'!$D$2:$G$35,3,FALSE)),0,VLOOKUP(I203,'Efficiency Lookup'!$D$2:$G$35,3,FALSE))</f>
        <v>0.7</v>
      </c>
      <c r="AP203" s="133">
        <f>U203*AO203</f>
        <v>1.3905549840000004</v>
      </c>
      <c r="AQ203" s="135">
        <f>IF(X203="RR",IF((0.0308*(AA203^5)-0.2562*(AA203^4)+0.8634*(AA203^3)-1.5285*(AA203^2)+1.501*AA203-0.013)&gt;0.7,0.7,IF((0.0308*(AA203^5)-0.2562*(AA203^4)+0.8634*(AA203^3)-1.5285*(AA203^2)+1.501*AA203-0.013)&lt;0,0,(0.0308*(AA203^5)-0.2562*(AA203^4)+0.8634*(AA203^3)-1.5285*(AA203^2)+1.501*AA203-0.013))),IF((0.0152*(AA203^5)-0.131*(AA203^4)+0.4581*(AA203^3)-0.8418*(AA203^2)+0.8536*AA203-0.0046)&gt;0.65,0.65,IF((0.0152*(AA203^5)-0.131*(AA203^4)+0.4581*(AA203^3)-0.8418*(AA203^2)+0.8536*AA203-0.0046)&lt;0,0,(0.0152*(AA203^5)-0.131*(AA203^4)+0.4581*(AA203^3)-0.8418*(AA203^2)+0.8536*AA203-0.0046))))</f>
        <v>0.7</v>
      </c>
      <c r="AR203" s="34">
        <f>U203*AQ203</f>
        <v>1.3905549840000004</v>
      </c>
      <c r="AS203" s="400">
        <f>IF(AK203=AF203,MAX(AP203,AR203),IF(AK203=AH203,AP203,AR203))</f>
        <v>1.3905549840000004</v>
      </c>
      <c r="AT203" s="1100"/>
      <c r="AU203" s="1104"/>
      <c r="AV203" s="138">
        <f>IF(ISNA(VLOOKUP(I203,'Efficiency Lookup'!$D$2:$G$35,4,FALSE)),0,VLOOKUP(I203,'Efficiency Lookup'!$D$2:$G$35,4,FALSE))</f>
        <v>0.8</v>
      </c>
      <c r="AW203" s="133">
        <f>$V203*AV203</f>
        <v>128.63397643200003</v>
      </c>
      <c r="AX203" s="135">
        <f>IF(X203="RR",IF((0.0326*(AA203^5)-0.2806*(AA203^4)+0.9816*(AA203^3)-1.8039*(AA203^2)+1.8292*AA203-0.0098)&gt;0.85,0.85,IF((0.0326*(AA203^5)-0.2806*(AA203^4)+0.9816*(AA203^3)-1.8039*(AA203^2)+1.8292*AA203-0.0098)&lt;0,0,(0.0326*(AA203^5)-0.2806*(AA203^4)+0.9816*(AA203^3)-1.8039*(AA203^2)+1.8292*AA203-0.0098))),IF((0.0304*(AA203^5)-0.2619*(AA203^4)+0.9161*(AA203^3)-1.6837*(AA203^2)+1.7072*AA203-0.0091)&gt;0.8,0.8,IF((0.0304*(AA203^5)-0.2619*(AA203^4)+0.9161*(AA203^3)-1.6837*(AA203^2)+1.7072*AA203-0.0091)&lt;0,0,(0.0304*(AA203^5)-0.2619*(AA203^4)+0.9161*(AA203^3)-1.6837*(AA203^2)+1.7072*AA203-0.0091))))</f>
        <v>0.85</v>
      </c>
      <c r="AY203" s="144">
        <f>$V203*AX203</f>
        <v>136.67359995900003</v>
      </c>
      <c r="AZ203" s="400">
        <f>IF(AS203=AP203,AW203,AY203)</f>
        <v>128.63397643200003</v>
      </c>
      <c r="BA203" s="1100"/>
      <c r="BB203" s="1104"/>
      <c r="BC203" s="1105"/>
      <c r="BD203" s="1106"/>
      <c r="BE203" s="1107"/>
      <c r="BF203" s="14"/>
      <c r="BG203" t="s">
        <v>287</v>
      </c>
    </row>
    <row r="204" spans="1:59" ht="18.600000000000001" customHeight="1" x14ac:dyDescent="0.25">
      <c r="A204" s="10" t="s">
        <v>495</v>
      </c>
      <c r="B204" s="11">
        <v>-78.449312000000006</v>
      </c>
      <c r="C204" s="11">
        <v>38.133301000000003</v>
      </c>
      <c r="D204" s="26">
        <v>1</v>
      </c>
      <c r="E204" s="1048" t="s">
        <v>281</v>
      </c>
      <c r="F204" s="1048" t="s">
        <v>342</v>
      </c>
      <c r="G204" s="1048"/>
      <c r="H204" s="1021" t="s">
        <v>343</v>
      </c>
      <c r="I204" s="1021" t="s">
        <v>496</v>
      </c>
      <c r="J204" s="1048"/>
      <c r="K204" s="11">
        <v>0.23</v>
      </c>
      <c r="L204" s="11"/>
      <c r="M204" s="11">
        <v>0</v>
      </c>
      <c r="N204" s="11">
        <v>0.18</v>
      </c>
      <c r="O204" s="7">
        <f t="shared" si="67"/>
        <v>0</v>
      </c>
      <c r="P204" s="7">
        <f t="shared" si="68"/>
        <v>0.78260869565217384</v>
      </c>
      <c r="Q204" s="8"/>
      <c r="R204" s="8"/>
      <c r="S204" s="8"/>
      <c r="T204" s="8">
        <f>IF(J203="TT",IF(F203="u/g detention",(43*0.9*(0.05+0.9*P204)*0.26*$K204*2.72/12)-AK202,(43*0.9*(0.05+0.9*P204)*0.26*$K204*2.72/12)-AK203),43*0.9*(0.05+0.9*P204)*0.26*$K204*2.72/12)</f>
        <v>0.39570492000000007</v>
      </c>
      <c r="U204" s="8">
        <f t="shared" si="69"/>
        <v>2.0576655840000004</v>
      </c>
      <c r="V204" s="8">
        <f t="shared" si="70"/>
        <v>166.55220082800003</v>
      </c>
      <c r="W204" s="8"/>
      <c r="X204" s="34" t="s">
        <v>285</v>
      </c>
      <c r="Y204" s="257">
        <v>1388.3</v>
      </c>
      <c r="Z204" s="257">
        <v>0.18</v>
      </c>
      <c r="AA204" s="258">
        <f>IF(Y204="NA", 0, (Y204/43560)*12/Z204)</f>
        <v>2.1247321701867157</v>
      </c>
      <c r="AB204" s="742" t="s">
        <v>296</v>
      </c>
      <c r="AC204" s="134" t="str">
        <f t="shared" si="52"/>
        <v>NA</v>
      </c>
      <c r="AD204" s="741">
        <f t="shared" si="66"/>
        <v>0</v>
      </c>
      <c r="AE204" s="134">
        <f>IF(ISNA(VLOOKUP(H204,'Efficiency Lookup'!$B$2:$C$38,2,FALSE)),0,(VLOOKUP(H204,'Efficiency Lookup'!$B$2:$C$38,2,FALSE)))</f>
        <v>0.5</v>
      </c>
      <c r="AF204" s="133">
        <f>T204*AE204</f>
        <v>0.19785246000000004</v>
      </c>
      <c r="AG204" s="135">
        <f>IF(ISNA(VLOOKUP(I204,'Efficiency Lookup'!$D$2:$E$35,2,FALSE)),0,VLOOKUP(I204,'Efficiency Lookup'!$D$2:$E$35,2,FALSE))</f>
        <v>0.85</v>
      </c>
      <c r="AH204" s="34">
        <f>T204*AG204</f>
        <v>0.33634918200000002</v>
      </c>
      <c r="AI204" s="132">
        <f>IF(X204="RR",IF((0.0304*(AA204^5)-0.2619*(AA204^4)+0.9161*(AA204^3)-1.6837*(AA204^2)+1.7072*AA204-0.0091)&gt;0.85,0.85,IF((0.0304*(AA204^5)-0.2619*(AA204^4)+0.9161*(AA204^3)-1.6837*(AA204^2)+1.7072*AA204-0.0091)&lt;0,0,(0.0304*(AA204^5)-0.2619*(AA204^4)+0.9161*(AA204^3)-1.6837*(AA204^2)+1.7072*AA204-0.0091))),IF((0.0239*(AA204^5)-0.2058*(AA204^4)+0.7198*(AA204^3)-1.3229*(AA204^2)+1.3414*AA204-0.0072)&gt;0.65,0.65,IF((0.0239*(AA204^5)-0.2058*(AA204^4)+0.7198*(AA204^3)-1.3229*(AA204^2)+1.3414*AA204-0.0072)&lt;0,0,(0.0239*(AA204^5)-0.2058*(AA204^4)+0.7198*(AA204^3)-1.3229*(AA204^2)+1.3414*AA204-0.0072))))</f>
        <v>0.78324500160048383</v>
      </c>
      <c r="AJ204" s="133">
        <f>T204*AI204</f>
        <v>0.3099339006987194</v>
      </c>
      <c r="AK204" s="516">
        <f t="shared" si="53"/>
        <v>0.33634918200000002</v>
      </c>
      <c r="AL204" s="1100"/>
      <c r="AM204" s="1100"/>
      <c r="AN204" s="1112"/>
      <c r="AO204" s="147">
        <f>IF(ISNA(VLOOKUP(I204,'Efficiency Lookup'!$D$2:$G$35,3,FALSE)),0,VLOOKUP(I204,'Efficiency Lookup'!$D$2:$G$35,3,FALSE))</f>
        <v>0.8</v>
      </c>
      <c r="AP204" s="34">
        <f>U204*AO204</f>
        <v>1.6461324672000004</v>
      </c>
      <c r="AQ204" s="134">
        <f>IF(X204="RR",IF((0.0308*(AA204^5)-0.2562*(AA204^4)+0.8634*(AA204^3)-1.5285*(AA204^2)+1.501*AA204-0.013)&gt;0.7,0.7,IF((0.0308*(AA204^5)-0.2562*(AA204^4)+0.8634*(AA204^3)-1.5285*(AA204^2)+1.501*AA204-0.013)&lt;0,0,(0.0308*(AA204^5)-0.2562*(AA204^4)+0.8634*(AA204^3)-1.5285*(AA204^2)+1.501*AA204-0.013))),IF((0.0152*(AA204^5)-0.131*(AA204^4)+0.4581*(AA204^3)-0.8418*(AA204^2)+0.8536*AA204-0.0046)&gt;0.65,0.65,IF((0.0152*(AA204^5)-0.131*(AA204^4)+0.4581*(AA204^3)-0.8418*(AA204^2)+0.8536*AA204-0.0046)&lt;0,0,(0.0152*(AA204^5)-0.131*(AA204^4)+0.4581*(AA204^3)-0.8418*(AA204^2)+0.8536*AA204-0.0046))))</f>
        <v>0.66986189683925212</v>
      </c>
      <c r="AR204" s="133">
        <f>U204*AQ204</f>
        <v>1.3783517711590878</v>
      </c>
      <c r="AS204" s="400">
        <f>IF(AK204=AF204,MAX(AP204,AR204),IF(AK204=AH204,AP204,AR204))</f>
        <v>1.6461324672000004</v>
      </c>
      <c r="AT204" s="1100"/>
      <c r="AU204" s="1104"/>
      <c r="AV204" s="147">
        <f>IF(ISNA(VLOOKUP(I204,'Efficiency Lookup'!$D$2:$G$35,4,FALSE)),0,VLOOKUP(I204,'Efficiency Lookup'!$D$2:$G$35,4,FALSE))</f>
        <v>0.9</v>
      </c>
      <c r="AW204" s="34">
        <f>$V204*AV204</f>
        <v>149.89698074520004</v>
      </c>
      <c r="AX204" s="134">
        <f>IF(X204="RR",IF((0.0326*(AA204^5)-0.2806*(AA204^4)+0.9816*(AA204^3)-1.8039*(AA204^2)+1.8292*AA204-0.0098)&gt;0.85,0.85,IF((0.0326*(AA204^5)-0.2806*(AA204^4)+0.9816*(AA204^3)-1.8039*(AA204^2)+1.8292*AA204-0.0098)&lt;0,0,(0.0326*(AA204^5)-0.2806*(AA204^4)+0.9816*(AA204^3)-1.8039*(AA204^2)+1.8292*AA204-0.0098))),IF((0.0304*(AA204^5)-0.2619*(AA204^4)+0.9161*(AA204^3)-1.6837*(AA204^2)+1.7072*AA204-0.0091)&gt;0.8,0.8,IF((0.0304*(AA204^5)-0.2619*(AA204^4)+0.9161*(AA204^3)-1.6837*(AA204^2)+1.7072*AA204-0.0091)&lt;0,0,(0.0304*(AA204^5)-0.2619*(AA204^4)+0.9161*(AA204^3)-1.6837*(AA204^2)+1.7072*AA204-0.0091))))</f>
        <v>0.84155214955079027</v>
      </c>
      <c r="AY204" s="137">
        <f>$V204*AX204</f>
        <v>140.16236261921833</v>
      </c>
      <c r="AZ204" s="400">
        <f>IF(AS204=AP204,AW204,AY204)</f>
        <v>149.89698074520004</v>
      </c>
      <c r="BA204" s="1100"/>
      <c r="BB204" s="1104"/>
      <c r="BC204" s="1105"/>
      <c r="BD204" s="1106"/>
      <c r="BE204" s="1107"/>
      <c r="BF204" s="14"/>
    </row>
    <row r="205" spans="1:59" s="268" customFormat="1" ht="18.600000000000001" customHeight="1" x14ac:dyDescent="0.25">
      <c r="A205" s="286"/>
      <c r="B205" s="281"/>
      <c r="C205" s="281"/>
      <c r="D205" s="281"/>
      <c r="E205" s="262"/>
      <c r="F205" s="262"/>
      <c r="G205" s="262"/>
      <c r="H205" s="263"/>
      <c r="I205" s="263"/>
      <c r="J205" s="262"/>
      <c r="K205" s="271"/>
      <c r="L205" s="271"/>
      <c r="M205" s="271"/>
      <c r="N205" s="271"/>
      <c r="O205" s="273"/>
      <c r="P205" s="273"/>
      <c r="Q205" s="264"/>
      <c r="R205" s="264"/>
      <c r="S205" s="264"/>
      <c r="T205" s="264"/>
      <c r="U205" s="264"/>
      <c r="V205" s="264"/>
      <c r="W205" s="264"/>
      <c r="X205" s="264"/>
      <c r="Y205" s="265"/>
      <c r="Z205" s="265"/>
      <c r="AA205" s="321"/>
      <c r="AB205" s="747" t="s">
        <v>297</v>
      </c>
      <c r="AC205" s="751" t="str">
        <f t="shared" si="52"/>
        <v/>
      </c>
      <c r="AD205" s="303" t="str">
        <f t="shared" si="66"/>
        <v/>
      </c>
      <c r="AE205" s="274"/>
      <c r="AF205" s="266"/>
      <c r="AG205" s="303"/>
      <c r="AH205" s="274"/>
      <c r="AI205" s="303"/>
      <c r="AJ205" s="274"/>
      <c r="AK205" s="590" t="str">
        <f t="shared" si="53"/>
        <v/>
      </c>
      <c r="AO205" s="329"/>
      <c r="AP205" s="303"/>
      <c r="AQ205" s="303"/>
      <c r="AR205" s="303"/>
      <c r="AS205" s="587"/>
      <c r="AT205" s="410"/>
      <c r="AU205" s="408"/>
      <c r="AV205" s="329"/>
      <c r="AW205" s="303"/>
      <c r="AX205" s="303"/>
      <c r="AY205" s="285"/>
      <c r="AZ205" s="280"/>
      <c r="BA205" s="264"/>
      <c r="BB205" s="411"/>
      <c r="BE205" s="331"/>
      <c r="BF205" s="277"/>
    </row>
    <row r="206" spans="1:59" ht="18.600000000000001" customHeight="1" x14ac:dyDescent="0.25">
      <c r="A206" s="11" t="s">
        <v>497</v>
      </c>
      <c r="B206" s="11"/>
      <c r="C206" s="11"/>
      <c r="D206" s="1111" t="s">
        <v>271</v>
      </c>
      <c r="E206" s="1116"/>
      <c r="F206" s="1019"/>
      <c r="G206" s="1019"/>
      <c r="H206" s="1021"/>
      <c r="I206" s="1021"/>
      <c r="J206" s="1019"/>
      <c r="K206" s="11">
        <v>1.88</v>
      </c>
      <c r="L206" s="11"/>
      <c r="M206" s="11">
        <v>0</v>
      </c>
      <c r="N206" s="9">
        <v>0.46</v>
      </c>
      <c r="O206" s="7">
        <f>+M206/K206</f>
        <v>0</v>
      </c>
      <c r="P206" s="7">
        <f>+N206/K206</f>
        <v>0.24468085106382981</v>
      </c>
      <c r="Q206" s="8">
        <f>43*0.9*(0.05+0.9*0.16)*0.26*$K206*2.72/12</f>
        <v>0.8318241984000001</v>
      </c>
      <c r="R206" s="39">
        <f>43*0.9*(0.05+0.9*O206)*0.26*$K206*2.72/12</f>
        <v>0.21438768000000005</v>
      </c>
      <c r="S206" s="8">
        <f>IF(J206="R",R206,Q206)</f>
        <v>0.8318241984000001</v>
      </c>
      <c r="T206" s="8">
        <f>43*0.9*(0.05+0.9*P206)*0.26*$K206*2.72/12</f>
        <v>1.1586057600000002</v>
      </c>
      <c r="U206" s="8">
        <f>T206*5.2</f>
        <v>6.0247499520000014</v>
      </c>
      <c r="V206" s="8">
        <f>T206*420.9</f>
        <v>487.65716438400005</v>
      </c>
      <c r="W206" s="8">
        <f>IF(P206 &lt; 16%, 0, IF(K206 &lt; 1, 0, T206-S206))</f>
        <v>0.32678156160000005</v>
      </c>
      <c r="X206" s="8"/>
      <c r="Y206" s="257"/>
      <c r="Z206" s="257"/>
      <c r="AA206" s="258"/>
      <c r="AB206" s="742" t="s">
        <v>297</v>
      </c>
      <c r="AC206" s="750" t="str">
        <f t="shared" si="52"/>
        <v/>
      </c>
      <c r="AD206" s="39" t="str">
        <f t="shared" si="66"/>
        <v/>
      </c>
      <c r="AE206" s="133"/>
      <c r="AF206" s="34"/>
      <c r="AG206" s="39"/>
      <c r="AH206" s="133"/>
      <c r="AI206" s="39"/>
      <c r="AJ206" s="133"/>
      <c r="AK206" s="585" t="str">
        <f t="shared" si="53"/>
        <v/>
      </c>
      <c r="AO206" s="589"/>
      <c r="AP206" s="39"/>
      <c r="AQ206" s="39"/>
      <c r="AR206" s="39"/>
      <c r="AS206" s="400"/>
      <c r="AT206" s="17"/>
      <c r="AU206" s="409"/>
      <c r="AV206" s="589"/>
      <c r="AW206" s="39"/>
      <c r="AX206" s="39"/>
      <c r="AY206" s="136"/>
      <c r="AZ206" s="146"/>
      <c r="BA206" s="8"/>
      <c r="BB206" s="412"/>
      <c r="BE206" s="143"/>
      <c r="BF206" s="14" t="s">
        <v>498</v>
      </c>
      <c r="BG206" t="s">
        <v>499</v>
      </c>
    </row>
    <row r="207" spans="1:59" ht="18.600000000000001" customHeight="1" x14ac:dyDescent="0.25">
      <c r="A207" s="10" t="s">
        <v>320</v>
      </c>
      <c r="B207" s="11">
        <v>-78.483774999999994</v>
      </c>
      <c r="C207" s="11">
        <v>37.999921999999998</v>
      </c>
      <c r="D207" s="26">
        <v>23.01</v>
      </c>
      <c r="E207" s="1048" t="s">
        <v>274</v>
      </c>
      <c r="F207" s="1048" t="s">
        <v>275</v>
      </c>
      <c r="G207" s="1048"/>
      <c r="H207" s="1021" t="s">
        <v>276</v>
      </c>
      <c r="I207" s="1021" t="s">
        <v>277</v>
      </c>
      <c r="J207" s="1048" t="s">
        <v>301</v>
      </c>
      <c r="K207" s="11">
        <v>1.88</v>
      </c>
      <c r="L207" s="11"/>
      <c r="M207" s="11">
        <v>0</v>
      </c>
      <c r="N207" s="11">
        <v>0.46</v>
      </c>
      <c r="O207" s="7">
        <f>+M207/K207</f>
        <v>0</v>
      </c>
      <c r="P207" s="7">
        <f>+N207/K207</f>
        <v>0.24468085106382981</v>
      </c>
      <c r="Q207" s="8"/>
      <c r="R207" s="8"/>
      <c r="S207" s="8"/>
      <c r="T207" s="8">
        <f>IF(J206="TT",IF(F206="u/g detention",(43*0.9*(0.05+0.9*P207)*0.26*$K207*2.72/12)-AK205,(43*0.9*(0.05+0.9*P207)*0.26*$K207*2.72/12)-AK206),43*0.9*(0.05+0.9*P207)*0.26*$K207*2.72/12)</f>
        <v>1.1586057600000002</v>
      </c>
      <c r="U207" s="8">
        <f>T207*5.2</f>
        <v>6.0247499520000014</v>
      </c>
      <c r="V207" s="8">
        <f>T207*420.9</f>
        <v>487.65716438400005</v>
      </c>
      <c r="W207" s="8"/>
      <c r="X207" s="36" t="s">
        <v>278</v>
      </c>
      <c r="Y207" s="257" t="s">
        <v>295</v>
      </c>
      <c r="Z207" s="257">
        <v>3.06</v>
      </c>
      <c r="AA207" s="258">
        <f>IF(Y207="NA", 0, (Y207/43560)*12/Z207)</f>
        <v>0</v>
      </c>
      <c r="AB207" s="742" t="s">
        <v>470</v>
      </c>
      <c r="AC207" s="134" t="str">
        <f t="shared" si="52"/>
        <v>NA</v>
      </c>
      <c r="AD207" s="741">
        <f t="shared" si="66"/>
        <v>0</v>
      </c>
      <c r="AE207" s="135">
        <f>IF(ISNA(VLOOKUP(H207,'Efficiency Lookup'!$B$2:$C$38,2,FALSE)),0,(VLOOKUP(H207,'Efficiency Lookup'!$B$2:$C$38,2,FALSE)))</f>
        <v>0.65</v>
      </c>
      <c r="AF207" s="34">
        <f>T207*AE207</f>
        <v>0.75309374400000018</v>
      </c>
      <c r="AG207" s="134">
        <f>IF(ISNA(VLOOKUP(I207,'Efficiency Lookup'!$D$2:$E$35,2,FALSE)),0,VLOOKUP(I207,'Efficiency Lookup'!$D$2:$E$35,2,FALSE))</f>
        <v>0.45</v>
      </c>
      <c r="AH207" s="133">
        <f>T207*AG207</f>
        <v>0.52137259200000008</v>
      </c>
      <c r="AI207" s="132">
        <f>IF(X207="RR",IF((0.0304*(AA207^5)-0.2619*(AA207^4)+0.9161*(AA207^3)-1.6837*(AA207^2)+1.7072*AA207-0.0091)&gt;0.85,0.85,IF((0.0304*(AA207^5)-0.2619*(AA207^4)+0.9161*(AA207^3)-1.6837*(AA207^2)+1.7072*AA207-0.0091)&lt;0,0,(0.0304*(AA207^5)-0.2619*(AA207^4)+0.9161*(AA207^3)-1.6837*(AA207^2)+1.7072*AA207-0.0091))),IF((0.0239*(AA207^5)-0.2058*(AA207^4)+0.7198*(AA207^3)-1.3229*(AA207^2)+1.3414*AA207-0.0072)&gt;0.65,0.65,IF((0.0239*(AA207^5)-0.2058*(AA207^4)+0.7198*(AA207^3)-1.3229*(AA207^2)+1.3414*AA207-0.0072)&lt;0,0,(0.0239*(AA207^5)-0.2058*(AA207^4)+0.7198*(AA207^3)-1.3229*(AA207^2)+1.3414*AA207-0.0072))))</f>
        <v>0</v>
      </c>
      <c r="AJ207" s="133">
        <f>T207*AI207</f>
        <v>0</v>
      </c>
      <c r="AK207" s="516">
        <f t="shared" si="53"/>
        <v>0.75309374400000018</v>
      </c>
      <c r="AL207" s="34">
        <f>AK207</f>
        <v>0.75309374400000018</v>
      </c>
      <c r="AM207" s="313">
        <f>AL207-W206</f>
        <v>0.42631218240000013</v>
      </c>
      <c r="AN207" s="288">
        <f>AM207/AL207</f>
        <v>0.56608116293155664</v>
      </c>
      <c r="AO207" s="147">
        <f>IF(ISNA(VLOOKUP(I207,'Efficiency Lookup'!$D$2:$G$35,3,FALSE)),0,VLOOKUP(I207,'Efficiency Lookup'!$D$2:$G$35,3,FALSE))</f>
        <v>0.2</v>
      </c>
      <c r="AP207" s="34">
        <f>U207*AO207</f>
        <v>1.2049499904000003</v>
      </c>
      <c r="AQ207" s="134">
        <f>IF(X207="RR",IF((0.0308*(AA207^5)-0.2562*(AA207^4)+0.8634*(AA207^3)-1.5285*(AA207^2)+1.501*AA207-0.013)&gt;0.7,0.7,IF((0.0308*(AA207^5)-0.2562*(AA207^4)+0.8634*(AA207^3)-1.5285*(AA207^2)+1.501*AA207-0.013)&lt;0,0,(0.0308*(AA207^5)-0.2562*(AA207^4)+0.8634*(AA207^3)-1.5285*(AA207^2)+1.501*AA207-0.013))),IF((0.0152*(AA207^5)-0.131*(AA207^4)+0.4581*(AA207^3)-0.8418*(AA207^2)+0.8536*AA207-0.0046)&gt;0.65,0.65,IF((0.0152*(AA207^5)-0.131*(AA207^4)+0.4581*(AA207^3)-0.8418*(AA207^2)+0.8536*AA207-0.0046)&lt;0,0,(0.0152*(AA207^5)-0.131*(AA207^4)+0.4581*(AA207^3)-0.8418*(AA207^2)+0.8536*AA207-0.0046))))</f>
        <v>0</v>
      </c>
      <c r="AR207" s="133">
        <f>U207*AQ207</f>
        <v>0</v>
      </c>
      <c r="AS207" s="400">
        <f>IF(AK207=AF207,MAX(AP207,AR207),IF(AK207=AH207,AP207,AR207))</f>
        <v>1.2049499904000003</v>
      </c>
      <c r="AT207" s="313">
        <f>AS207</f>
        <v>1.2049499904000003</v>
      </c>
      <c r="AU207" s="313">
        <f>AT207*AN207</f>
        <v>0.68209949184000018</v>
      </c>
      <c r="AV207" s="147">
        <f>IF(ISNA(VLOOKUP(I207,'Efficiency Lookup'!$D$2:$G$35,4,FALSE)),0,VLOOKUP(I207,'Efficiency Lookup'!$D$2:$G$35,4,FALSE))</f>
        <v>0.6</v>
      </c>
      <c r="AW207" s="34">
        <f>$V207*AV207</f>
        <v>292.59429863040003</v>
      </c>
      <c r="AX207" s="134">
        <f>IF(X207="RR",IF((0.0326*(AA207^5)-0.2806*(AA207^4)+0.9816*(AA207^3)-1.8039*(AA207^2)+1.8292*AA207-0.0098)&gt;0.85,0.85,IF((0.0326*(AA207^5)-0.2806*(AA207^4)+0.9816*(AA207^3)-1.8039*(AA207^2)+1.8292*AA207-0.0098)&lt;0,0,(0.0326*(AA207^5)-0.2806*(AA207^4)+0.9816*(AA207^3)-1.8039*(AA207^2)+1.8292*AA207-0.0098))),IF((0.0304*(AA207^5)-0.2619*(AA207^4)+0.9161*(AA207^3)-1.6837*(AA207^2)+1.7072*AA207-0.0091)&gt;0.8,0.8,IF((0.0304*(AA207^5)-0.2619*(AA207^4)+0.9161*(AA207^3)-1.6837*(AA207^2)+1.7072*AA207-0.0091)&lt;0,0,(0.0304*(AA207^5)-0.2619*(AA207^4)+0.9161*(AA207^3)-1.6837*(AA207^2)+1.7072*AA207-0.0091))))</f>
        <v>0</v>
      </c>
      <c r="AY207" s="137">
        <f>$V207*AX207</f>
        <v>0</v>
      </c>
      <c r="AZ207" s="400">
        <f>IF(AS207=AP207,AW207,AY207)</f>
        <v>292.59429863040003</v>
      </c>
      <c r="BA207" s="313">
        <f>AZ207</f>
        <v>292.59429863040003</v>
      </c>
      <c r="BB207" s="401">
        <f>BA207*AN207</f>
        <v>165.63212083584003</v>
      </c>
      <c r="BC207" s="318">
        <f>AM207</f>
        <v>0.42631218240000013</v>
      </c>
      <c r="BD207" s="318">
        <f>AU207</f>
        <v>0.68209949184000018</v>
      </c>
      <c r="BE207" s="332">
        <f>BB207</f>
        <v>165.63212083584003</v>
      </c>
      <c r="BG207" t="s">
        <v>500</v>
      </c>
    </row>
    <row r="208" spans="1:59" ht="18.600000000000001" customHeight="1" x14ac:dyDescent="0.25">
      <c r="S208" s="8"/>
      <c r="X208" s="37"/>
      <c r="Y208" s="1048"/>
      <c r="Z208" s="1048"/>
      <c r="AA208" s="37"/>
      <c r="AB208" s="11"/>
      <c r="AC208" s="750" t="str">
        <f>IF(OR(G208="filterra",G208="stormfilter"),0.5,IF(B208=0,"","NA"))</f>
        <v/>
      </c>
      <c r="AD208" s="594"/>
      <c r="AE208" s="594"/>
      <c r="AF208" s="594"/>
      <c r="AG208" s="594"/>
      <c r="AH208" s="594"/>
      <c r="AI208" s="594"/>
      <c r="AJ208" s="594"/>
      <c r="AO208" s="594"/>
      <c r="AP208" s="594"/>
      <c r="AQ208" s="594"/>
      <c r="AR208" s="594"/>
      <c r="AS208" s="14"/>
      <c r="AV208" s="594"/>
      <c r="AW208" s="594"/>
      <c r="AX208" s="594"/>
      <c r="AY208" s="594"/>
      <c r="AZ208" s="14"/>
    </row>
    <row r="209" spans="1:58" ht="18.600000000000001" customHeight="1" x14ac:dyDescent="0.25">
      <c r="N209" s="17"/>
      <c r="S209" s="8"/>
      <c r="Y209" s="14"/>
      <c r="Z209" s="14"/>
      <c r="AA209" s="37"/>
      <c r="AB209" s="11"/>
      <c r="AC209" s="750" t="str">
        <f>IF(OR(G209="filterra",G209="stormfilter"),0.5,IF(B209=0,"","NA"))</f>
        <v/>
      </c>
      <c r="AD209" s="594"/>
      <c r="AS209" s="14"/>
      <c r="AW209"/>
    </row>
    <row r="210" spans="1:58" ht="18.600000000000001" customHeight="1" x14ac:dyDescent="0.25">
      <c r="A210" s="22" t="s">
        <v>501</v>
      </c>
      <c r="N210" s="17"/>
      <c r="S210" s="8"/>
      <c r="AB210" s="11"/>
      <c r="AC210" s="750" t="str">
        <f>IF(OR(G210="filterra",G210="stormfilter"),0.5,IF(B210=0,"","NA"))</f>
        <v/>
      </c>
      <c r="AD210" s="594"/>
      <c r="AS210" s="14"/>
      <c r="AW210"/>
    </row>
    <row r="211" spans="1:58" ht="18.600000000000001" customHeight="1" x14ac:dyDescent="0.25">
      <c r="A211" s="11"/>
      <c r="B211" s="11"/>
      <c r="C211" s="11"/>
      <c r="D211" s="13"/>
      <c r="E211" s="1048"/>
      <c r="F211" s="1048"/>
      <c r="G211" s="1048"/>
      <c r="H211" s="1021"/>
      <c r="I211" s="1021"/>
      <c r="M211" s="11"/>
      <c r="N211" s="11"/>
      <c r="AB211" s="5"/>
      <c r="AC211" s="72" t="str">
        <f>IF(OR(G211="filterra",G211="stormfilter"),0.5,IF(B211=0,"","NA"))</f>
        <v/>
      </c>
      <c r="AS211" s="14"/>
      <c r="AW211"/>
    </row>
    <row r="212" spans="1:58" s="826" customFormat="1" ht="18.600000000000001" customHeight="1" x14ac:dyDescent="0.25">
      <c r="A212" s="814" t="s">
        <v>502</v>
      </c>
      <c r="B212" s="814"/>
      <c r="C212" s="814"/>
      <c r="D212" s="846"/>
      <c r="E212" s="833"/>
      <c r="F212" s="833"/>
      <c r="G212" s="833"/>
      <c r="H212" s="815"/>
      <c r="I212" s="815"/>
      <c r="K212" s="814">
        <v>88.83</v>
      </c>
      <c r="L212" s="814"/>
      <c r="M212" s="814">
        <v>0</v>
      </c>
      <c r="N212" s="814">
        <v>41.6</v>
      </c>
      <c r="O212" s="817">
        <f>+M212/K212</f>
        <v>0</v>
      </c>
      <c r="P212" s="817">
        <f>+N212/K212</f>
        <v>0.46831025554429812</v>
      </c>
      <c r="Q212" s="818">
        <f>43*0.9*(0.05+0.9*0.16)*0.26*$K212*2.72/12</f>
        <v>39.303693374400005</v>
      </c>
      <c r="R212" s="819">
        <f>43*0.9*(0.05+0.9*O212)*0.26*$K212*2.72/12</f>
        <v>10.129817880000003</v>
      </c>
      <c r="S212" s="818">
        <f>IF(J212="R",R212,Q212)</f>
        <v>39.303693374400005</v>
      </c>
      <c r="T212" s="818">
        <f>43*0.9*(0.05+0.9*P212)*0.26*$K212*2.72/12</f>
        <v>95.519974680000004</v>
      </c>
      <c r="U212" s="818">
        <f>T212*5.2</f>
        <v>496.70386833600003</v>
      </c>
      <c r="V212" s="818">
        <f>T212*420.9</f>
        <v>40204.357342812</v>
      </c>
      <c r="W212" s="818">
        <f>IF(P212 &lt; 16%, 0, IF(K212 &lt; 1, 0, T212-S212))</f>
        <v>56.216281305599999</v>
      </c>
      <c r="X212" s="824"/>
      <c r="Y212" s="820"/>
      <c r="Z212" s="820"/>
      <c r="AA212" s="834"/>
      <c r="AB212" s="835"/>
      <c r="AC212" s="836"/>
      <c r="AD212" s="823"/>
      <c r="AE212" s="836"/>
      <c r="AF212" s="823"/>
      <c r="AG212" s="836"/>
      <c r="AH212" s="823"/>
      <c r="AI212" s="839"/>
      <c r="AJ212" s="823"/>
      <c r="AK212" s="843" t="str">
        <f>IF(AC212="","",MAX(AD212,AF212,AH212,AJ212))</f>
        <v/>
      </c>
      <c r="AL212" s="823" t="str">
        <f>AK212</f>
        <v/>
      </c>
      <c r="AM212" s="823"/>
      <c r="AN212" s="836"/>
      <c r="AS212" s="856"/>
    </row>
    <row r="213" spans="1:58" s="826" customFormat="1" ht="18.600000000000001" customHeight="1" x14ac:dyDescent="0.25">
      <c r="A213" s="857"/>
      <c r="B213" s="814">
        <v>-78.499162999999996</v>
      </c>
      <c r="C213" s="814">
        <v>38.010123999999998</v>
      </c>
      <c r="D213" s="846" t="s">
        <v>503</v>
      </c>
      <c r="E213" s="833" t="s">
        <v>289</v>
      </c>
      <c r="F213" s="873" t="s">
        <v>504</v>
      </c>
      <c r="G213" s="815" t="s">
        <v>291</v>
      </c>
      <c r="H213" s="815"/>
      <c r="I213" s="815"/>
      <c r="J213" s="1001"/>
      <c r="K213" s="816">
        <f>9.03+18.2+0.31</f>
        <v>27.539999999999996</v>
      </c>
      <c r="L213" s="816"/>
      <c r="M213" s="816">
        <v>0</v>
      </c>
      <c r="N213" s="816">
        <f>K213-(1.9+2+0.05)</f>
        <v>23.589999999999996</v>
      </c>
      <c r="O213" s="817">
        <f>+M213/K213</f>
        <v>0</v>
      </c>
      <c r="P213" s="817">
        <f>+N213/K213</f>
        <v>0.85657225853304286</v>
      </c>
      <c r="Q213" s="818"/>
      <c r="R213" s="818"/>
      <c r="S213" s="818"/>
      <c r="T213" s="818">
        <f>IF(J212="TT",IF(F212="u/g detention",(43*0.9*(0.05+0.9*P213)*0.26*$K213*2.72/12)-AK211,(43*0.9*(0.05+0.9*P213)*0.26*$K213*2.72/12)-AK212),43*0.9*(0.05+0.9*P213)*0.26*$K213*2.72/12)</f>
        <v>51.562517759999999</v>
      </c>
      <c r="U213" s="818">
        <f>T213*5.2</f>
        <v>268.12509235200002</v>
      </c>
      <c r="V213" s="818">
        <f>T213*420.9</f>
        <v>21702.663725183997</v>
      </c>
      <c r="W213" s="818"/>
      <c r="X213" s="858" t="s">
        <v>278</v>
      </c>
      <c r="Y213" s="820">
        <v>2784.6</v>
      </c>
      <c r="Z213" s="820">
        <f>N213</f>
        <v>23.589999999999996</v>
      </c>
      <c r="AA213" s="834">
        <f>IF(Y213="NA", 0, (Y213/43560)*12/Z213)</f>
        <v>3.2518331412315776E-2</v>
      </c>
      <c r="AB213" s="835"/>
      <c r="AC213" s="847">
        <f>IF(G213="filterra",0.5, IF(G213="stormfilter",0.45,IF(B213=0,"","NA")))</f>
        <v>0.5</v>
      </c>
      <c r="AD213" s="835">
        <f>IF(AC213="NA",0,IF(AC213="","",T213*AC213))</f>
        <v>25.781258879999999</v>
      </c>
      <c r="AE213" s="859">
        <v>0.5</v>
      </c>
      <c r="AF213" s="860">
        <f>T213*AE213</f>
        <v>25.781258879999999</v>
      </c>
      <c r="AG213" s="859">
        <f>IF(ISNA(VLOOKUP(I213,'Efficiency Lookup'!$D$2:$E$35,2,FALSE)),0,VLOOKUP(I213,'Efficiency Lookup'!$D$2:$E$35,2,FALSE))</f>
        <v>0</v>
      </c>
      <c r="AH213" s="860">
        <f>T213*AG213</f>
        <v>0</v>
      </c>
      <c r="AI213" s="861">
        <f>IF(X213="RR",IF((0.0304*(AA213^5)-0.2619*(AA213^4)+0.9161*(AA213^3)-1.6837*(AA213^2)+1.7072*AA213-0.0091)&gt;0.85,0.85,IF((0.0304*(AA213^5)-0.2619*(AA213^4)+0.9161*(AA213^3)-1.6837*(AA213^2)+1.7072*AA213-0.0091)&lt;0,0,(0.0304*(AA213^5)-0.2619*(AA213^4)+0.9161*(AA213^3)-1.6837*(AA213^2)+1.7072*AA213-0.0091))),IF((0.0239*(AA213^5)-0.2058*(AA213^4)+0.7198*(AA213^3)-1.3229*(AA213^2)+1.3414*AA213-0.0072)&gt;0.65,0.65,IF((0.0239*(AA213^5)-0.2058*(AA213^4)+0.7198*(AA213^3)-1.3229*(AA213^2)+1.3414*AA213-0.0072)&lt;0,0,(0.0239*(AA213^5)-0.2058*(AA213^4)+0.7198*(AA213^3)-1.3229*(AA213^2)+1.3414*AA213-0.0072))))</f>
        <v>3.5045721862657364E-2</v>
      </c>
      <c r="AJ213" s="860">
        <f>T213*AI213</f>
        <v>1.8070456559552905</v>
      </c>
      <c r="AK213" s="840">
        <f>IF(AC213="","",MAX(AD213,AF213,AH213,AJ213))</f>
        <v>25.781258879999999</v>
      </c>
      <c r="AL213" s="1113">
        <f>SUM(AK213:AK215)</f>
        <v>58.239026215500004</v>
      </c>
      <c r="AM213" s="1091">
        <f>AL213-W212</f>
        <v>2.0227449099000054</v>
      </c>
      <c r="AN213" s="1114">
        <f>AM213/AL213</f>
        <v>3.4731777664264288E-2</v>
      </c>
      <c r="AO213" s="844">
        <f>IF(ISNA(VLOOKUP(I213,'Efficiency Lookup'!$D$2:$G$35,3,FALSE)),0,VLOOKUP(I213,'Efficiency Lookup'!$D$2:$G$35,3,FALSE))</f>
        <v>0</v>
      </c>
      <c r="AP213" s="823">
        <f>U213*AO213</f>
        <v>0</v>
      </c>
      <c r="AQ213" s="838">
        <f>IF(X213="RR",IF((0.0308*(AA213^5)-0.2562*(AA213^4)+0.8634*(AA213^3)-1.5285*(AA213^2)+1.501*AA213-0.013)&gt;0.7,0.7,IF((0.0308*(AA213^5)-0.2562*(AA213^4)+0.8634*(AA213^3)-1.5285*(AA213^2)+1.501*AA213-0.013)&lt;0,0,(0.0308*(AA213^5)-0.2562*(AA213^4)+0.8634*(AA213^3)-1.5285*(AA213^2)+1.501*AA213-0.013))),IF((0.0152*(AA213^5)-0.131*(AA213^4)+0.4581*(AA213^3)-0.8418*(AA213^2)+0.8536*AA213-0.0046)&gt;0.65,0.65,IF((0.0152*(AA213^5)-0.131*(AA213^4)+0.4581*(AA213^3)-0.8418*(AA213^2)+0.8536*AA213-0.0046)&lt;0,0,(0.0152*(AA213^5)-0.131*(AA213^4)+0.4581*(AA213^3)-0.8418*(AA213^2)+0.8536*AA213-0.0046))))</f>
        <v>2.2283099530497386E-2</v>
      </c>
      <c r="AR213" s="824">
        <f>U213*AQ213</f>
        <v>5.9746581195034203</v>
      </c>
      <c r="AS213" s="842">
        <f>IF(AK213=AF213,MAX(AP213,AR213),IF(AK213=AH213,AP213,AR213))</f>
        <v>5.9746581195034203</v>
      </c>
      <c r="AT213" s="1091">
        <f>SUM(AS213:AS215)</f>
        <v>106.59776660670344</v>
      </c>
      <c r="AU213" s="1091">
        <f>AT213*AN213</f>
        <v>3.7023299292911602</v>
      </c>
      <c r="AV213" s="844">
        <f>IF(ISNA(VLOOKUP(I213,'Efficiency Lookup'!$D$2:$G$35,4,FALSE)),0,VLOOKUP(I213,'Efficiency Lookup'!$D$2:$G$35,4,FALSE))</f>
        <v>0</v>
      </c>
      <c r="AW213" s="823">
        <f>$V213*AV213</f>
        <v>0</v>
      </c>
      <c r="AX213" s="838">
        <f>IF(X213="RR",IF((0.0326*(AA213^5)-0.2806*(AA213^4)+0.9816*(AA213^3)-1.8039*(AA213^2)+1.8292*AA213-0.0098)&gt;0.85,0.85,IF((0.0326*(AA213^5)-0.2806*(AA213^4)+0.9816*(AA213^3)-1.8039*(AA213^2)+1.8292*AA213-0.0098)&lt;0,0,(0.0326*(AA213^5)-0.2806*(AA213^4)+0.9816*(AA213^3)-1.8039*(AA213^2)+1.8292*AA213-0.0098))),IF((0.0304*(AA213^5)-0.2619*(AA213^4)+0.9161*(AA213^3)-1.6837*(AA213^2)+1.7072*AA213-0.0091)&gt;0.8,0.8,IF((0.0304*(AA213^5)-0.2619*(AA213^4)+0.9161*(AA213^3)-1.6837*(AA213^2)+1.7072*AA213-0.0091)&lt;0,0,(0.0304*(AA213^5)-0.2619*(AA213^4)+0.9161*(AA213^3)-1.6837*(AA213^2)+1.7072*AA213-0.0091))))</f>
        <v>4.4666089990000782E-2</v>
      </c>
      <c r="AY213" s="824">
        <f>$V213*AX213</f>
        <v>969.37313097179401</v>
      </c>
      <c r="AZ213" s="842">
        <f>IF(AS213=AP213,AW213,AY213)</f>
        <v>969.37313097179401</v>
      </c>
      <c r="BA213" s="1091">
        <f>SUM(AZ213:AZ215)</f>
        <v>20669.834613665997</v>
      </c>
      <c r="BB213" s="1091">
        <f>BA213*AN213</f>
        <v>717.90010015896155</v>
      </c>
      <c r="BC213" s="1092">
        <f>AM213</f>
        <v>2.0227449099000054</v>
      </c>
      <c r="BD213" s="1093">
        <f>AU213</f>
        <v>3.7023299292911602</v>
      </c>
      <c r="BE213" s="1093">
        <f>BB213</f>
        <v>717.90010015896155</v>
      </c>
      <c r="BF213" s="868"/>
    </row>
    <row r="214" spans="1:58" s="826" customFormat="1" ht="18.600000000000001" customHeight="1" x14ac:dyDescent="0.25">
      <c r="B214" s="814">
        <v>-78.499162999999996</v>
      </c>
      <c r="C214" s="814">
        <v>38.010123999999998</v>
      </c>
      <c r="D214" s="833" t="s">
        <v>505</v>
      </c>
      <c r="E214" s="833" t="s">
        <v>506</v>
      </c>
      <c r="F214" s="850" t="s">
        <v>507</v>
      </c>
      <c r="G214" s="815"/>
      <c r="H214" s="815" t="s">
        <v>508</v>
      </c>
      <c r="I214" s="815" t="s">
        <v>509</v>
      </c>
      <c r="J214" s="814" t="s">
        <v>292</v>
      </c>
      <c r="K214" s="816">
        <f>4.95+8.5</f>
        <v>13.45</v>
      </c>
      <c r="L214" s="816"/>
      <c r="M214" s="862">
        <v>0</v>
      </c>
      <c r="N214" s="816">
        <f>K214-(0.5)</f>
        <v>12.95</v>
      </c>
      <c r="O214" s="817">
        <f>+M214/K214</f>
        <v>0</v>
      </c>
      <c r="P214" s="817">
        <f>+N214/K214</f>
        <v>0.96282527881040891</v>
      </c>
      <c r="Q214" s="818"/>
      <c r="R214" s="818"/>
      <c r="S214" s="818"/>
      <c r="T214" s="818">
        <f>IF(J213="TT",IF(F213="u/g detention",(43*0.9*(0.05+0.9*P214)*0.26*$K214*2.72/12)-AK213,(43*0.9*(0.05+0.9*P214)*0.26*$K214*2.72/12)-SUM(AK211:AK213)),43*0.9*(0.05+0.9*P214)*0.26*$K214*2.72/12)</f>
        <v>28.115575800000006</v>
      </c>
      <c r="U214" s="818">
        <f>T214*5.2</f>
        <v>146.20099416000002</v>
      </c>
      <c r="V214" s="818">
        <f>T214*420.9</f>
        <v>11833.845854220002</v>
      </c>
      <c r="W214" s="818"/>
      <c r="X214" s="824" t="s">
        <v>278</v>
      </c>
      <c r="Y214" s="820" t="s">
        <v>295</v>
      </c>
      <c r="Z214" s="820">
        <f>N214</f>
        <v>12.95</v>
      </c>
      <c r="AA214" s="834">
        <f>IF(Y214="NA", 0, (Y214/43560)*12/Z214)</f>
        <v>0</v>
      </c>
      <c r="AB214" s="835"/>
      <c r="AC214" s="836" t="str">
        <f>IF(G214="filterra",0.5, IF(G214="stormfilter",0.45,IF(B214=0,"","NA")))</f>
        <v>NA</v>
      </c>
      <c r="AD214" s="837">
        <f>IF(AC214="NA",0,IF(AC214="","",T214*AC214))</f>
        <v>0</v>
      </c>
      <c r="AE214" s="847">
        <f>IF(ISNA(VLOOKUP(H214,'Efficiency Lookup'!$B$2:$C$38,2,FALSE)),0,(VLOOKUP(H214,'Efficiency Lookup'!$B$2:$C$38,2,FALSE)))</f>
        <v>0.65</v>
      </c>
      <c r="AF214" s="848">
        <f>T214*AE214</f>
        <v>18.275124270000003</v>
      </c>
      <c r="AG214" s="859">
        <f>IF(ISNA(VLOOKUP(I214,'Efficiency Lookup'!$D$2:$E$35,2,FALSE)),0,VLOOKUP(I214,'Efficiency Lookup'!$D$2:$E$35,2,FALSE))</f>
        <v>0.6</v>
      </c>
      <c r="AH214" s="860">
        <f>T214*AG214</f>
        <v>16.869345480000003</v>
      </c>
      <c r="AI214" s="839">
        <f>IF(X214="RR",IF((0.0304*(AA214^5)-0.2619*(AA214^4)+0.9161*(AA214^3)-1.6837*(AA214^2)+1.7072*AA214-0.0091)&gt;0.85,0.85,IF((0.0304*(AA214^5)-0.2619*(AA214^4)+0.9161*(AA214^3)-1.6837*(AA214^2)+1.7072*AA214-0.0091)&lt;0,0,(0.0304*(AA214^5)-0.2619*(AA214^4)+0.9161*(AA214^3)-1.6837*(AA214^2)+1.7072*AA214-0.0091))),IF((0.0239*(AA214^5)-0.2058*(AA214^4)+0.7198*(AA214^3)-1.3229*(AA214^2)+1.3414*AA214-0.0072)&gt;0.65,0.65,IF((0.0239*(AA214^5)-0.2058*(AA214^4)+0.7198*(AA214^3)-1.3229*(AA214^2)+1.3414*AA214-0.0072)&lt;0,0,(0.0239*(AA214^5)-0.2058*(AA214^4)+0.7198*(AA214^3)-1.3229*(AA214^2)+1.3414*AA214-0.0072))))</f>
        <v>0</v>
      </c>
      <c r="AJ214" s="823">
        <f>T214*AI214</f>
        <v>0</v>
      </c>
      <c r="AK214" s="830">
        <f>IF(AC214="","",MAX(AD214,AF214,AH214,AJ214))</f>
        <v>18.275124270000003</v>
      </c>
      <c r="AL214" s="1113"/>
      <c r="AM214" s="1091"/>
      <c r="AN214" s="1114"/>
      <c r="AO214" s="849">
        <f>IF(ISNA(VLOOKUP(I214,'Efficiency Lookup'!$D$2:$G$35,3,FALSE)),0,VLOOKUP(I214,'Efficiency Lookup'!$D$2:$G$35,3,FALSE))</f>
        <v>0.4</v>
      </c>
      <c r="AP214" s="848">
        <f>U214*AO214</f>
        <v>58.480397664000009</v>
      </c>
      <c r="AQ214" s="836">
        <f>IF(X214="RR",IF((0.0308*(AA214^5)-0.2562*(AA214^4)+0.8634*(AA214^3)-1.5285*(AA214^2)+1.501*AA214-0.013)&gt;0.7,0.7,IF((0.0308*(AA214^5)-0.2562*(AA214^4)+0.8634*(AA214^3)-1.5285*(AA214^2)+1.501*AA214-0.013)&lt;0,0,(0.0308*(AA214^5)-0.2562*(AA214^4)+0.8634*(AA214^3)-1.5285*(AA214^2)+1.501*AA214-0.013))),IF((0.0152*(AA214^5)-0.131*(AA214^4)+0.4581*(AA214^3)-0.8418*(AA214^2)+0.8536*AA214-0.0046)&gt;0.65,0.65,IF((0.0152*(AA214^5)-0.131*(AA214^4)+0.4581*(AA214^3)-0.8418*(AA214^2)+0.8536*AA214-0.0046)&lt;0,0,(0.0152*(AA214^5)-0.131*(AA214^4)+0.4581*(AA214^3)-0.8418*(AA214^2)+0.8536*AA214-0.0046))))</f>
        <v>0</v>
      </c>
      <c r="AR214" s="823">
        <f>U214*AQ214</f>
        <v>0</v>
      </c>
      <c r="AS214" s="842">
        <f>IF(AK214=AF214,MAX(AP214,AR214),IF(AK214=AH214,AP214,AR214))</f>
        <v>58.480397664000009</v>
      </c>
      <c r="AT214" s="1091"/>
      <c r="AU214" s="1091"/>
      <c r="AV214" s="849">
        <f>IF(ISNA(VLOOKUP(I214,'Efficiency Lookup'!$D$2:$G$35,4,FALSE)),0,VLOOKUP(I214,'Efficiency Lookup'!$D$2:$G$35,4,FALSE))</f>
        <v>0.8</v>
      </c>
      <c r="AW214" s="848">
        <f>$V214*AV214</f>
        <v>9467.0766833760026</v>
      </c>
      <c r="AX214" s="836">
        <f>IF(X214="RR",IF((0.0326*(AA214^5)-0.2806*(AA214^4)+0.9816*(AA214^3)-1.8039*(AA214^2)+1.8292*AA214-0.0098)&gt;0.85,0.85,IF((0.0326*(AA214^5)-0.2806*(AA214^4)+0.9816*(AA214^3)-1.8039*(AA214^2)+1.8292*AA214-0.0098)&lt;0,0,(0.0326*(AA214^5)-0.2806*(AA214^4)+0.9816*(AA214^3)-1.8039*(AA214^2)+1.8292*AA214-0.0098))),IF((0.0304*(AA214^5)-0.2619*(AA214^4)+0.9161*(AA214^3)-1.6837*(AA214^2)+1.7072*AA214-0.0091)&gt;0.8,0.8,IF((0.0304*(AA214^5)-0.2619*(AA214^4)+0.9161*(AA214^3)-1.6837*(AA214^2)+1.7072*AA214-0.0091)&lt;0,0,(0.0304*(AA214^5)-0.2619*(AA214^4)+0.9161*(AA214^3)-1.6837*(AA214^2)+1.7072*AA214-0.0091))))</f>
        <v>0</v>
      </c>
      <c r="AY214" s="823">
        <f>$V214*AX214</f>
        <v>0</v>
      </c>
      <c r="AZ214" s="842">
        <f>IF(AS214=AP214,AW214,AY214)</f>
        <v>9467.0766833760026</v>
      </c>
      <c r="BA214" s="1091"/>
      <c r="BB214" s="1091"/>
      <c r="BC214" s="1092"/>
      <c r="BD214" s="1093"/>
      <c r="BE214" s="1093"/>
      <c r="BF214" s="828" t="s">
        <v>510</v>
      </c>
    </row>
    <row r="215" spans="1:58" s="826" customFormat="1" ht="18.600000000000001" customHeight="1" x14ac:dyDescent="0.25">
      <c r="A215" s="831"/>
      <c r="B215" s="814">
        <v>-78.499162999999996</v>
      </c>
      <c r="C215" s="814">
        <v>38.010123999999998</v>
      </c>
      <c r="D215" s="846" t="s">
        <v>511</v>
      </c>
      <c r="E215" s="833" t="s">
        <v>293</v>
      </c>
      <c r="F215" s="815" t="s">
        <v>512</v>
      </c>
      <c r="G215" s="815"/>
      <c r="H215" s="815" t="s">
        <v>358</v>
      </c>
      <c r="I215" s="815" t="s">
        <v>359</v>
      </c>
      <c r="J215" s="833"/>
      <c r="K215" s="816">
        <f>K214+K213+2.83</f>
        <v>43.819999999999993</v>
      </c>
      <c r="L215" s="816"/>
      <c r="M215" s="814">
        <v>0</v>
      </c>
      <c r="N215" s="816">
        <f>N214+N213+(2.83-0.6)</f>
        <v>38.769999999999989</v>
      </c>
      <c r="O215" s="817">
        <f>+M215/K215</f>
        <v>0</v>
      </c>
      <c r="P215" s="817">
        <f>+N215/K215</f>
        <v>0.88475581926061153</v>
      </c>
      <c r="Q215" s="818"/>
      <c r="R215" s="818"/>
      <c r="S215" s="818"/>
      <c r="T215" s="818">
        <f>IF(J214="TT",43*0.9*(0.05+0.9*P215)*0.26*$K215*2.72/12-AK213-AK214,43*0.9*(0.05+0.9*P215)*0.26*$K215*2.72/12)</f>
        <v>40.521837330000011</v>
      </c>
      <c r="U215" s="818">
        <f>T215*5.2</f>
        <v>210.71355411600007</v>
      </c>
      <c r="V215" s="818">
        <f>T215*420.9</f>
        <v>17055.641332197003</v>
      </c>
      <c r="W215" s="818"/>
      <c r="X215" s="824" t="s">
        <v>278</v>
      </c>
      <c r="Y215" s="820" t="s">
        <v>295</v>
      </c>
      <c r="Z215" s="820" t="s">
        <v>295</v>
      </c>
      <c r="AA215" s="834">
        <f>IF(Y215="NA", 0, (Y215/43560)*12/Z215)</f>
        <v>0</v>
      </c>
      <c r="AB215" s="835"/>
      <c r="AC215" s="836" t="str">
        <f>IF(G215="filterra",0.5, IF(G215="stormfilter",0.45,IF(B215=0,"","NA")))</f>
        <v>NA</v>
      </c>
      <c r="AD215" s="837">
        <f>IF(AC215="NA",0,IF(AC215="","",T215*AC215))</f>
        <v>0</v>
      </c>
      <c r="AE215" s="847">
        <f>IF(ISNA(VLOOKUP(H215,'Efficiency Lookup'!$B$2:$C$38,2,FALSE)),0,(VLOOKUP(H215,'Efficiency Lookup'!$B$2:$C$38,2,FALSE)))</f>
        <v>0.35</v>
      </c>
      <c r="AF215" s="848">
        <f>T215*AE215</f>
        <v>14.182643065500002</v>
      </c>
      <c r="AG215" s="859">
        <f>IF(ISNA(VLOOKUP(I215,'Efficiency Lookup'!$D$2:$E$35,2,FALSE)),0,VLOOKUP(I215,'Efficiency Lookup'!$D$2:$E$35,2,FALSE))</f>
        <v>0.2</v>
      </c>
      <c r="AH215" s="823">
        <f>T215*AG215</f>
        <v>8.1043674660000029</v>
      </c>
      <c r="AI215" s="839">
        <f>IF(X215="RR",IF((0.0304*(AA215^5)-0.2619*(AA215^4)+0.9161*(AA215^3)-1.6837*(AA215^2)+1.7072*AA215-0.0091)&gt;0.85,0.85,IF((0.0304*(AA215^5)-0.2619*(AA215^4)+0.9161*(AA215^3)-1.6837*(AA215^2)+1.7072*AA215-0.0091)&lt;0,0,(0.0304*(AA215^5)-0.2619*(AA215^4)+0.9161*(AA215^3)-1.6837*(AA215^2)+1.7072*AA215-0.0091))),IF((0.0239*(AA215^5)-0.2058*(AA215^4)+0.7198*(AA215^3)-1.3229*(AA215^2)+1.3414*AA215-0.0072)&gt;0.65,0.65,IF((0.0239*(AA215^5)-0.2058*(AA215^4)+0.7198*(AA215^3)-1.3229*(AA215^2)+1.3414*AA215-0.0072)&lt;0,0,(0.0239*(AA215^5)-0.2058*(AA215^4)+0.7198*(AA215^3)-1.3229*(AA215^2)+1.3414*AA215-0.0072))))</f>
        <v>0</v>
      </c>
      <c r="AJ215" s="823">
        <f>T215*AI215</f>
        <v>0</v>
      </c>
      <c r="AK215" s="830">
        <f>IF(AC215="","",MAX(AD215,AF215,AH215,AJ215))</f>
        <v>14.182643065500002</v>
      </c>
      <c r="AL215" s="1113"/>
      <c r="AM215" s="1091"/>
      <c r="AN215" s="1114"/>
      <c r="AO215" s="849">
        <f>IF(ISNA(VLOOKUP(I215,'Efficiency Lookup'!$D$2:$G$35,3,FALSE)),0,VLOOKUP(I215,'Efficiency Lookup'!$D$2:$G$35,3,FALSE))</f>
        <v>0.2</v>
      </c>
      <c r="AP215" s="848">
        <f>U215*AO215</f>
        <v>42.142710823200019</v>
      </c>
      <c r="AQ215" s="836">
        <f>IF(X215="RR",IF((0.0308*(AA215^5)-0.2562*(AA215^4)+0.8634*(AA215^3)-1.5285*(AA215^2)+1.501*AA215-0.013)&gt;0.7,0.7,IF((0.0308*(AA215^5)-0.2562*(AA215^4)+0.8634*(AA215^3)-1.5285*(AA215^2)+1.501*AA215-0.013)&lt;0,0,(0.0308*(AA215^5)-0.2562*(AA215^4)+0.8634*(AA215^3)-1.5285*(AA215^2)+1.501*AA215-0.013))),IF((0.0152*(AA215^5)-0.131*(AA215^4)+0.4581*(AA215^3)-0.8418*(AA215^2)+0.8536*AA215-0.0046)&gt;0.65,0.65,IF((0.0152*(AA215^5)-0.131*(AA215^4)+0.4581*(AA215^3)-0.8418*(AA215^2)+0.8536*AA215-0.0046)&lt;0,0,(0.0152*(AA215^5)-0.131*(AA215^4)+0.4581*(AA215^3)-0.8418*(AA215^2)+0.8536*AA215-0.0046))))</f>
        <v>0</v>
      </c>
      <c r="AR215" s="823">
        <f>U215*AQ215</f>
        <v>0</v>
      </c>
      <c r="AS215" s="842">
        <f>IF(AK215=AF215,MAX(AP215,AR215),IF(AK215=AH215,AP215,AR215))</f>
        <v>42.142710823200019</v>
      </c>
      <c r="AT215" s="1091"/>
      <c r="AU215" s="1091"/>
      <c r="AV215" s="844">
        <f>IF(ISNA(VLOOKUP(I215,'Efficiency Lookup'!$D$2:$G$35,4,FALSE)),0,VLOOKUP(I215,'Efficiency Lookup'!$D$2:$G$35,4,FALSE))</f>
        <v>0.6</v>
      </c>
      <c r="AW215" s="823">
        <f>$V215*AV215</f>
        <v>10233.384799318201</v>
      </c>
      <c r="AX215" s="838">
        <f>IF(X215="RR",IF((0.0326*(AA215^5)-0.2806*(AA215^4)+0.9816*(AA215^3)-1.8039*(AA215^2)+1.8292*AA215-0.0098)&gt;0.85,0.85,IF((0.0326*(AA215^5)-0.2806*(AA215^4)+0.9816*(AA215^3)-1.8039*(AA215^2)+1.8292*AA215-0.0098)&lt;0,0,(0.0326*(AA215^5)-0.2806*(AA215^4)+0.9816*(AA215^3)-1.8039*(AA215^2)+1.8292*AA215-0.0098))),IF((0.0304*(AA215^5)-0.2619*(AA215^4)+0.9161*(AA215^3)-1.6837*(AA215^2)+1.7072*AA215-0.0091)&gt;0.8,0.8,IF((0.0304*(AA215^5)-0.2619*(AA215^4)+0.9161*(AA215^3)-1.6837*(AA215^2)+1.7072*AA215-0.0091)&lt;0,0,(0.0304*(AA215^5)-0.2619*(AA215^4)+0.9161*(AA215^3)-1.6837*(AA215^2)+1.7072*AA215-0.0091))))</f>
        <v>0</v>
      </c>
      <c r="AY215" s="824">
        <f>$V215*AX215</f>
        <v>0</v>
      </c>
      <c r="AZ215" s="842">
        <f>IF(AS215=AP215,AW215,AY215)</f>
        <v>10233.384799318201</v>
      </c>
      <c r="BA215" s="1091"/>
      <c r="BB215" s="1091"/>
      <c r="BC215" s="1092"/>
      <c r="BD215" s="1093"/>
      <c r="BE215" s="1093"/>
      <c r="BF215" s="828"/>
    </row>
    <row r="216" spans="1:58" ht="18.600000000000001" customHeight="1" x14ac:dyDescent="0.25">
      <c r="A216" s="11"/>
      <c r="B216" s="11"/>
      <c r="C216" s="11"/>
      <c r="D216" s="13"/>
      <c r="E216" s="1048"/>
      <c r="F216" s="1048"/>
      <c r="G216"/>
      <c r="I216" s="810"/>
      <c r="K216" s="514"/>
      <c r="L216" s="514"/>
      <c r="M216" s="510"/>
      <c r="N216" s="514"/>
      <c r="AB216" s="5"/>
      <c r="AC216" s="72"/>
      <c r="AS216" s="14"/>
      <c r="AW216"/>
      <c r="AZ216" s="14"/>
      <c r="BA216" s="14"/>
      <c r="BB216" s="14"/>
    </row>
    <row r="217" spans="1:58" s="826" customFormat="1" ht="18.600000000000001" customHeight="1" x14ac:dyDescent="0.25">
      <c r="A217" s="850" t="s">
        <v>513</v>
      </c>
      <c r="B217" s="814"/>
      <c r="C217" s="814"/>
      <c r="D217" s="1095" t="s">
        <v>271</v>
      </c>
      <c r="E217" s="1096"/>
      <c r="F217" s="1002"/>
      <c r="G217" s="1002"/>
      <c r="H217" s="815"/>
      <c r="I217" s="815"/>
      <c r="J217" s="1002"/>
      <c r="K217" s="814">
        <v>5.98</v>
      </c>
      <c r="L217" s="814"/>
      <c r="M217" s="814">
        <v>0</v>
      </c>
      <c r="N217" s="814">
        <f>(13488+53599+72568)/43560</f>
        <v>3.2060376492194673</v>
      </c>
      <c r="O217" s="817">
        <f>+M217/K217</f>
        <v>0</v>
      </c>
      <c r="P217" s="817">
        <f>+N217/K217</f>
        <v>0.53612669719389083</v>
      </c>
      <c r="Q217" s="818">
        <f>43*0.9*(0.05+0.9*0.16)*0.26*$K217*2.72/12</f>
        <v>2.6459088864000004</v>
      </c>
      <c r="R217" s="819">
        <f>43*0.9*(0.05+0.9*O217)*0.26*$K217*2.72/12</f>
        <v>0.68193528000000025</v>
      </c>
      <c r="S217" s="818">
        <f>IF(J217="R",R217,Q217)</f>
        <v>2.6459088864000004</v>
      </c>
      <c r="T217" s="818">
        <f>43*0.9*(0.05+0.9*P217)*0.26*$K217*2.72/12</f>
        <v>7.2628020485950442</v>
      </c>
      <c r="U217" s="818">
        <f>T217*5.2</f>
        <v>37.766570652694234</v>
      </c>
      <c r="V217" s="818">
        <f>T217*420.9</f>
        <v>3056.9133822536537</v>
      </c>
      <c r="W217" s="818">
        <f>IF(P217 &lt; 16%, 0, IF(K217 &lt; 1, 0, T217-S217))</f>
        <v>4.6168931621950442</v>
      </c>
      <c r="X217" s="824"/>
      <c r="Y217" s="820"/>
      <c r="Z217" s="820"/>
      <c r="AA217" s="834"/>
      <c r="AB217" s="835"/>
      <c r="AC217" s="836"/>
      <c r="AD217" s="823"/>
      <c r="AE217" s="836"/>
      <c r="AF217" s="823"/>
      <c r="AG217" s="836"/>
      <c r="AH217" s="823"/>
      <c r="AI217" s="839"/>
      <c r="AJ217" s="823"/>
      <c r="AK217" s="843" t="str">
        <f>IF(AC217="","",MAX(AD217,AF217,AH217,AJ217))</f>
        <v/>
      </c>
      <c r="AL217" s="823" t="str">
        <f>AK217</f>
        <v/>
      </c>
      <c r="AM217" s="823"/>
      <c r="AN217" s="836"/>
      <c r="AO217" s="844"/>
      <c r="AP217" s="823"/>
      <c r="AQ217" s="836"/>
      <c r="AR217" s="823"/>
      <c r="AS217" s="845"/>
      <c r="AT217" s="823"/>
      <c r="AU217" s="823"/>
      <c r="AV217" s="844"/>
      <c r="AW217" s="823"/>
      <c r="AX217" s="836"/>
      <c r="AY217" s="823"/>
      <c r="AZ217" s="842"/>
      <c r="BA217" s="823"/>
      <c r="BB217" s="823"/>
      <c r="BC217" s="1097">
        <f>AM218</f>
        <v>0.68059249629855767</v>
      </c>
      <c r="BD217" s="1098">
        <f>AU218</f>
        <v>3.3031422487023332</v>
      </c>
      <c r="BE217" s="1098">
        <f>BB218</f>
        <v>305.55880713820039</v>
      </c>
      <c r="BF217" s="828" t="s">
        <v>510</v>
      </c>
    </row>
    <row r="218" spans="1:58" s="826" customFormat="1" ht="18.600000000000001" customHeight="1" x14ac:dyDescent="0.25">
      <c r="A218" s="814"/>
      <c r="B218" s="814">
        <v>-78.495808999999994</v>
      </c>
      <c r="C218" s="814">
        <v>37.996400999999999</v>
      </c>
      <c r="D218" s="846">
        <v>446.01</v>
      </c>
      <c r="E218" s="833" t="s">
        <v>281</v>
      </c>
      <c r="F218" s="833" t="s">
        <v>342</v>
      </c>
      <c r="G218" s="833"/>
      <c r="H218" s="815" t="s">
        <v>283</v>
      </c>
      <c r="I218" s="815" t="s">
        <v>315</v>
      </c>
      <c r="J218" s="833"/>
      <c r="K218" s="814">
        <v>5.9160000000000004</v>
      </c>
      <c r="L218" s="814"/>
      <c r="M218" s="814">
        <v>0</v>
      </c>
      <c r="N218" s="814">
        <f>K218*0.5261</f>
        <v>3.1124076000000001</v>
      </c>
      <c r="O218" s="817">
        <f>+M218/K218</f>
        <v>0</v>
      </c>
      <c r="P218" s="817">
        <f>+N218/K218</f>
        <v>0.52610000000000001</v>
      </c>
      <c r="Q218" s="818"/>
      <c r="R218" s="818"/>
      <c r="S218" s="818"/>
      <c r="T218" s="818">
        <f>IF(J217="TT",IF(F217="u/g detention",(43*0.9*(0.05+0.9*P218)*0.26*$K218*2.72/12)-AK235,(43*0.9*(0.05+0.9*P218)*0.26*$K218*2.72/12)-AK217),43*0.9*(0.05+0.9*P218)*0.26*$K218*2.72/12)</f>
        <v>7.0633142113248022</v>
      </c>
      <c r="U218" s="818">
        <f>T218*5.2</f>
        <v>36.729233898888971</v>
      </c>
      <c r="V218" s="818">
        <f>T218*420.9</f>
        <v>2972.9489515466089</v>
      </c>
      <c r="W218" s="818"/>
      <c r="X218" s="824"/>
      <c r="Y218" s="820"/>
      <c r="Z218" s="820"/>
      <c r="AA218" s="834"/>
      <c r="AB218" s="835"/>
      <c r="AC218" s="836" t="str">
        <f>IF(G218="filterra",0.5, IF(G218="stormfilter",0.45,IF(B218=0,"","NA")))</f>
        <v>NA</v>
      </c>
      <c r="AD218" s="837">
        <f>IF(AC218="NA",0,IF(AC218="","",T218*AC218))</f>
        <v>0</v>
      </c>
      <c r="AE218" s="836">
        <f>IF(ISNA(VLOOKUP(H218,'Efficiency Lookup'!$B$2:$C$38,2,FALSE)),0,(VLOOKUP(H218,'Efficiency Lookup'!$B$2:$C$38,2,FALSE)))</f>
        <v>0.65</v>
      </c>
      <c r="AF218" s="823">
        <f>T218*AE218</f>
        <v>4.5911542373611214</v>
      </c>
      <c r="AG218" s="847">
        <f>IF(ISNA(VLOOKUP(I218,'Efficiency Lookup'!$D$2:$E$35,2,FALSE)),0,VLOOKUP(I218,'Efficiency Lookup'!$D$2:$E$35,2,FALSE))</f>
        <v>0.75</v>
      </c>
      <c r="AH218" s="848">
        <f>T218*AG218</f>
        <v>5.2974856584936019</v>
      </c>
      <c r="AI218" s="839">
        <f>IF(X218="RR",IF((0.0304*(AA218^5)-0.2619*(AA218^4)+0.9161*(AA218^3)-1.6837*(AA218^2)+1.7072*AA218-0.0091)&gt;0.85,0.85,IF((0.0304*(AA218^5)-0.2619*(AA218^4)+0.9161*(AA218^3)-1.6837*(AA218^2)+1.7072*AA218-0.0091)&lt;0,0,(0.0304*(AA218^5)-0.2619*(AA218^4)+0.9161*(AA218^3)-1.6837*(AA218^2)+1.7072*AA218-0.0091))),IF((0.0239*(AA218^5)-0.2058*(AA218^4)+0.7198*(AA218^3)-1.3229*(AA218^2)+1.3414*AA218-0.0072)&gt;0.65,0.65,IF((0.0239*(AA218^5)-0.2058*(AA218^4)+0.7198*(AA218^3)-1.3229*(AA218^2)+1.3414*AA218-0.0072)&lt;0,0,(0.0239*(AA218^5)-0.2058*(AA218^4)+0.7198*(AA218^3)-1.3229*(AA218^2)+1.3414*AA218-0.0072))))</f>
        <v>0</v>
      </c>
      <c r="AJ218" s="823">
        <f>T218*AI218</f>
        <v>0</v>
      </c>
      <c r="AK218" s="840">
        <f>IF(AC218="","",MAX(AD218,AF218,AH218,AJ218))</f>
        <v>5.2974856584936019</v>
      </c>
      <c r="AL218" s="824">
        <f>AK218</f>
        <v>5.2974856584936019</v>
      </c>
      <c r="AM218" s="848">
        <f>AL218-W217</f>
        <v>0.68059249629855767</v>
      </c>
      <c r="AN218" s="847">
        <f>AM218/AL218</f>
        <v>0.12847462743147692</v>
      </c>
      <c r="AO218" s="849">
        <f>IF(ISNA(VLOOKUP(I218,'Efficiency Lookup'!$D$2:$G$35,3,FALSE)),0,VLOOKUP(I218,'Efficiency Lookup'!$D$2:$G$35,3,FALSE))</f>
        <v>0.7</v>
      </c>
      <c r="AP218" s="848">
        <f>U218*AO218</f>
        <v>25.71046372922228</v>
      </c>
      <c r="AQ218" s="836">
        <f>IF(X218="RR",IF((0.0308*(AA218^5)-0.2562*(AA218^4)+0.8634*(AA218^3)-1.5285*(AA218^2)+1.501*AA218-0.013)&gt;0.7,0.7,IF((0.0308*(AA218^5)-0.2562*(AA218^4)+0.8634*(AA218^3)-1.5285*(AA218^2)+1.501*AA218-0.013)&lt;0,0,(0.0308*(AA218^5)-0.2562*(AA218^4)+0.8634*(AA218^3)-1.5285*(AA218^2)+1.501*AA218-0.013))),IF((0.0152*(AA218^5)-0.131*(AA218^4)+0.4581*(AA218^3)-0.8418*(AA218^2)+0.8536*AA218-0.0046)&gt;0.65,0.65,IF((0.0152*(AA218^5)-0.131*(AA218^4)+0.4581*(AA218^3)-0.8418*(AA218^2)+0.8536*AA218-0.0046)&lt;0,0,(0.0152*(AA218^5)-0.131*(AA218^4)+0.4581*(AA218^3)-0.8418*(AA218^2)+0.8536*AA218-0.0046))))</f>
        <v>0</v>
      </c>
      <c r="AR218" s="823">
        <f>U218*AQ218</f>
        <v>0</v>
      </c>
      <c r="AS218" s="842">
        <f>IF(AK218=AF218,MAX(AP218,AR218),IF(AK218=AH218,AP218,AR218))</f>
        <v>25.71046372922228</v>
      </c>
      <c r="AT218" s="848">
        <f>AS218</f>
        <v>25.71046372922228</v>
      </c>
      <c r="AU218" s="848">
        <f>AT218*AN218</f>
        <v>3.3031422487023332</v>
      </c>
      <c r="AV218" s="849">
        <f>IF(ISNA(VLOOKUP(I218,'Efficiency Lookup'!$D$2:$G$35,4,FALSE)),0,VLOOKUP(I218,'Efficiency Lookup'!$D$2:$G$35,4,FALSE))</f>
        <v>0.8</v>
      </c>
      <c r="AW218" s="848">
        <f>$V218*AV218</f>
        <v>2378.359161237287</v>
      </c>
      <c r="AX218" s="836">
        <f>IF(X218="RR",IF((0.0326*(AA218^5)-0.2806*(AA218^4)+0.9816*(AA218^3)-1.8039*(AA218^2)+1.8292*AA218-0.0098)&gt;0.85,0.85,IF((0.0326*(AA218^5)-0.2806*(AA218^4)+0.9816*(AA218^3)-1.8039*(AA218^2)+1.8292*AA218-0.0098)&lt;0,0,(0.0326*(AA218^5)-0.2806*(AA218^4)+0.9816*(AA218^3)-1.8039*(AA218^2)+1.8292*AA218-0.0098))),IF((0.0304*(AA218^5)-0.2619*(AA218^4)+0.9161*(AA218^3)-1.6837*(AA218^2)+1.7072*AA218-0.0091)&gt;0.8,0.8,IF((0.0304*(AA218^5)-0.2619*(AA218^4)+0.9161*(AA218^3)-1.6837*(AA218^2)+1.7072*AA218-0.0091)&lt;0,0,(0.0304*(AA218^5)-0.2619*(AA218^4)+0.9161*(AA218^3)-1.6837*(AA218^2)+1.7072*AA218-0.0091))))</f>
        <v>0</v>
      </c>
      <c r="AY218" s="823">
        <f>$V218*AX218</f>
        <v>0</v>
      </c>
      <c r="AZ218" s="842">
        <f>IF(AS218=AP218,AW218,AY218)</f>
        <v>2378.359161237287</v>
      </c>
      <c r="BA218" s="848">
        <f>AZ218</f>
        <v>2378.359161237287</v>
      </c>
      <c r="BB218" s="848">
        <f>BA218*AN218</f>
        <v>305.55880713820039</v>
      </c>
      <c r="BC218" s="1097"/>
      <c r="BD218" s="1098"/>
      <c r="BE218" s="1098"/>
      <c r="BF218" s="828"/>
    </row>
    <row r="219" spans="1:58" ht="18.600000000000001" customHeight="1" x14ac:dyDescent="0.25">
      <c r="A219" s="11"/>
      <c r="B219" s="11"/>
      <c r="C219" s="11"/>
      <c r="D219" s="13"/>
      <c r="E219" s="11"/>
      <c r="F219" s="1048"/>
      <c r="G219" s="1048"/>
      <c r="H219" s="1021"/>
      <c r="I219" s="1021"/>
      <c r="M219" s="11"/>
      <c r="N219" s="11"/>
      <c r="AB219" s="5"/>
      <c r="AC219" s="72" t="str">
        <f>IF(OR(G219="filterra",G219="stormfilter"),0.5,IF(B219=0,"","NA"))</f>
        <v/>
      </c>
      <c r="AK219" s="399"/>
      <c r="AO219" s="399"/>
      <c r="AS219" s="306"/>
      <c r="AV219" s="399"/>
      <c r="AW219"/>
      <c r="AZ219" s="306"/>
      <c r="BA219" s="14"/>
      <c r="BB219" s="14"/>
      <c r="BC219" s="399"/>
      <c r="BF219" s="399"/>
    </row>
    <row r="220" spans="1:58" s="826" customFormat="1" ht="18.600000000000001" customHeight="1" x14ac:dyDescent="0.25">
      <c r="A220" s="814" t="s">
        <v>514</v>
      </c>
      <c r="B220" s="814"/>
      <c r="C220" s="814"/>
      <c r="D220" s="1095" t="s">
        <v>271</v>
      </c>
      <c r="E220" s="1096"/>
      <c r="F220" s="1002"/>
      <c r="G220" s="1002"/>
      <c r="H220" s="815"/>
      <c r="I220" s="815"/>
      <c r="J220" s="1002" t="s">
        <v>348</v>
      </c>
      <c r="K220" s="814">
        <v>2.56</v>
      </c>
      <c r="L220" s="814"/>
      <c r="M220" s="814">
        <v>1.5</v>
      </c>
      <c r="N220" s="814">
        <v>1.46</v>
      </c>
      <c r="O220" s="817">
        <f>+M220/K220</f>
        <v>0.5859375</v>
      </c>
      <c r="P220" s="817">
        <f>+N220/K220</f>
        <v>0.5703125</v>
      </c>
      <c r="Q220" s="819">
        <f>43*0.9*(0.05+0.9*0.16)*0.26*$K220*2.72/12</f>
        <v>1.1326967808000001</v>
      </c>
      <c r="R220" s="851">
        <f>43*0.9*(0.05+0.9*O220)*0.26*$K220*2.72/12</f>
        <v>3.3709041600000016</v>
      </c>
      <c r="S220" s="818">
        <f>IF(J220="R",R220,Q220)</f>
        <v>3.3709041600000016</v>
      </c>
      <c r="T220" s="818">
        <f>43*0.9*(0.05+0.9*P220)*0.26*$K220*2.72/12</f>
        <v>3.2887982400000006</v>
      </c>
      <c r="U220" s="818">
        <f>T220*5.2</f>
        <v>17.101750848000005</v>
      </c>
      <c r="V220" s="818">
        <f>T220*420.9</f>
        <v>1384.2551792160002</v>
      </c>
      <c r="W220" s="818">
        <v>0</v>
      </c>
      <c r="X220" s="824"/>
      <c r="Y220" s="820"/>
      <c r="Z220" s="820"/>
      <c r="AA220" s="834"/>
      <c r="AB220" s="835"/>
      <c r="AC220" s="836"/>
      <c r="AD220" s="823"/>
      <c r="AE220" s="836"/>
      <c r="AF220" s="823"/>
      <c r="AG220" s="836"/>
      <c r="AH220" s="823"/>
      <c r="AI220" s="839"/>
      <c r="AJ220" s="823"/>
      <c r="AK220" s="843" t="str">
        <f>IF(AC220="","",MAX(AD220,AF220,AH220,AJ220))</f>
        <v/>
      </c>
      <c r="AL220" s="823" t="str">
        <f>AK220</f>
        <v/>
      </c>
      <c r="AM220" s="823"/>
      <c r="AN220" s="836"/>
      <c r="AO220" s="844"/>
      <c r="AP220" s="823"/>
      <c r="AQ220" s="836"/>
      <c r="AR220" s="823"/>
      <c r="AS220" s="845"/>
      <c r="AT220" s="823"/>
      <c r="AU220" s="823"/>
      <c r="AV220" s="844"/>
      <c r="AW220" s="823"/>
      <c r="AX220" s="836"/>
      <c r="AY220" s="823"/>
      <c r="AZ220" s="842"/>
      <c r="BA220" s="823"/>
      <c r="BB220" s="823"/>
      <c r="BC220" s="1097">
        <f>AM221</f>
        <v>0.54167100000000024</v>
      </c>
      <c r="BD220" s="1098">
        <f>AY221</f>
        <v>38.853188784763567</v>
      </c>
      <c r="BE220" s="1098">
        <f>BB221</f>
        <v>38.853188784763567</v>
      </c>
      <c r="BF220" s="828" t="s">
        <v>510</v>
      </c>
    </row>
    <row r="221" spans="1:58" s="826" customFormat="1" ht="18.600000000000001" customHeight="1" x14ac:dyDescent="0.25">
      <c r="A221" s="814"/>
      <c r="B221" s="833">
        <v>-78.440563999999995</v>
      </c>
      <c r="C221" s="833">
        <v>38.029519999999998</v>
      </c>
      <c r="D221" s="846">
        <v>1</v>
      </c>
      <c r="E221" s="833" t="s">
        <v>289</v>
      </c>
      <c r="F221" s="833" t="s">
        <v>515</v>
      </c>
      <c r="G221" s="833" t="s">
        <v>291</v>
      </c>
      <c r="H221" s="815"/>
      <c r="I221" s="815"/>
      <c r="J221" s="833"/>
      <c r="K221" s="814">
        <v>0.5</v>
      </c>
      <c r="L221" s="814"/>
      <c r="M221" s="814">
        <v>0.5</v>
      </c>
      <c r="N221" s="814">
        <v>0.5</v>
      </c>
      <c r="O221" s="817">
        <f>P221</f>
        <v>1</v>
      </c>
      <c r="P221" s="817">
        <f>+N221/K221</f>
        <v>1</v>
      </c>
      <c r="Q221" s="818"/>
      <c r="R221" s="818"/>
      <c r="S221" s="818"/>
      <c r="T221" s="818">
        <f>IF(J220="TT",IF(F220="u/g detention",(43*0.9*(0.05+0.9*P221)*0.26*$K221*2.72/12)-AK219,(43*0.9*(0.05+0.9*P221)*0.26*$K221*2.72/12)-AK220),43*0.9*(0.05+0.9*P221)*0.26*$K221*2.72/12)</f>
        <v>1.0833420000000005</v>
      </c>
      <c r="U221" s="818">
        <f>T221*5.2</f>
        <v>5.6333784000000025</v>
      </c>
      <c r="V221" s="818">
        <f>T221*420.9</f>
        <v>455.97864780000015</v>
      </c>
      <c r="W221" s="818"/>
      <c r="X221" s="824" t="s">
        <v>278</v>
      </c>
      <c r="Y221" s="820">
        <v>106.2</v>
      </c>
      <c r="Z221" s="820">
        <f>N221</f>
        <v>0.5</v>
      </c>
      <c r="AA221" s="834">
        <f>IF(Y221="NA", 0, (Y221/43560)*12/Z221)</f>
        <v>5.8512396694214874E-2</v>
      </c>
      <c r="AB221" s="835"/>
      <c r="AC221" s="847">
        <f>IF(G221="filterra",0.5, IF(G221="stormfilter",0.45,IF(B221=0,"","NA")))</f>
        <v>0.5</v>
      </c>
      <c r="AD221" s="835">
        <f>IF(AC221="NA",0,IF(AC221="","",T221*AC221))</f>
        <v>0.54167100000000024</v>
      </c>
      <c r="AE221" s="836">
        <f>IF(ISNA(VLOOKUP(H221,'Efficiency Lookup'!$B$2:$C$38,2,FALSE)),0,(VLOOKUP(H221,'Efficiency Lookup'!$B$2:$C$38,2,FALSE)))</f>
        <v>0</v>
      </c>
      <c r="AF221" s="823">
        <f>T221*AE221</f>
        <v>0</v>
      </c>
      <c r="AG221" s="859">
        <f>IF(ISNA(VLOOKUP(I221,'Efficiency Lookup'!$D$2:$E$35,2,FALSE)),0,VLOOKUP(I221,'Efficiency Lookup'!$D$2:$E$35,2,FALSE))</f>
        <v>0</v>
      </c>
      <c r="AH221" s="823">
        <f>T221*AG221</f>
        <v>0</v>
      </c>
      <c r="AI221" s="839">
        <f>IF(X221="RR",IF((0.0304*(AA221^5)-0.2619*(AA221^4)+0.9161*(AA221^3)-1.6837*(AA221^2)+1.7072*AA221-0.0091)&gt;0.85,0.85,IF((0.0304*(AA221^5)-0.2619*(AA221^4)+0.9161*(AA221^3)-1.6837*(AA221^2)+1.7072*AA221-0.0091)&lt;0,0,(0.0304*(AA221^5)-0.2619*(AA221^4)+0.9161*(AA221^3)-1.6837*(AA221^2)+1.7072*AA221-0.0091))),IF((0.0239*(AA221^5)-0.2058*(AA221^4)+0.7198*(AA221^3)-1.3229*(AA221^2)+1.3414*AA221-0.0072)&gt;0.65,0.65,IF((0.0239*(AA221^5)-0.2058*(AA221^4)+0.7198*(AA221^3)-1.3229*(AA221^2)+1.3414*AA221-0.0072)&lt;0,0,(0.0239*(AA221^5)-0.2058*(AA221^4)+0.7198*(AA221^3)-1.3229*(AA221^2)+1.3414*AA221-0.0072))))</f>
        <v>6.6901116267489555E-2</v>
      </c>
      <c r="AJ221" s="823">
        <f>T221*AI221</f>
        <v>7.2476789099454694E-2</v>
      </c>
      <c r="AK221" s="840">
        <f>IF(AC221="","",MAX(AD221,AF221,AH221,AJ221))</f>
        <v>0.54167100000000024</v>
      </c>
      <c r="AL221" s="824">
        <f>AK221</f>
        <v>0.54167100000000024</v>
      </c>
      <c r="AM221" s="848">
        <f>AL221-W220</f>
        <v>0.54167100000000024</v>
      </c>
      <c r="AN221" s="847">
        <f>AM221/AL221</f>
        <v>1</v>
      </c>
      <c r="AO221" s="863">
        <f>IF(ISNA(VLOOKUP(I221,'Efficiency Lookup'!$D$2:$G$35,3,FALSE)),0,VLOOKUP(I221,'Efficiency Lookup'!$D$2:$G$35,3,FALSE))</f>
        <v>0</v>
      </c>
      <c r="AP221" s="864">
        <f>U221*AO221</f>
        <v>0</v>
      </c>
      <c r="AQ221" s="847">
        <f>IF(X221="RR",IF((0.0308*(AA221^5)-0.2562*(AA221^4)+0.8634*(AA221^3)-1.5285*(AA221^2)+1.501*AA221-0.013)&gt;0.7,0.7,IF((0.0308*(AA221^5)-0.2562*(AA221^4)+0.8634*(AA221^3)-1.5285*(AA221^2)+1.501*AA221-0.013)&lt;0,0,(0.0308*(AA221^5)-0.2562*(AA221^4)+0.8634*(AA221^3)-1.5285*(AA221^2)+1.501*AA221-0.013))),IF((0.0152*(AA221^5)-0.131*(AA221^4)+0.4581*(AA221^3)-0.8418*(AA221^2)+0.8536*AA221-0.0046)&gt;0.65,0.65,IF((0.0152*(AA221^5)-0.131*(AA221^4)+0.4581*(AA221^3)-0.8418*(AA221^2)+0.8536*AA221-0.0046)&lt;0,0,(0.0152*(AA221^5)-0.131*(AA221^4)+0.4581*(AA221^3)-0.8418*(AA221^2)+0.8536*AA221-0.0046))))</f>
        <v>4.2554356240959774E-2</v>
      </c>
      <c r="AR221" s="848">
        <f>U221*AQ221</f>
        <v>0.23972479127372809</v>
      </c>
      <c r="AS221" s="842">
        <f>IF(AK221=AF221,MAX(AP221,AR221),IF(AK221=AH221,AP221,AR221))</f>
        <v>0.23972479127372809</v>
      </c>
      <c r="AT221" s="848">
        <f>AS221</f>
        <v>0.23972479127372809</v>
      </c>
      <c r="AU221" s="848">
        <f>AT221*AN221</f>
        <v>0.23972479127372809</v>
      </c>
      <c r="AV221" s="863">
        <f>IF(ISNA(VLOOKUP(I221,'Efficiency Lookup'!$D$2:$G$35,4,FALSE)),0,VLOOKUP(I221,'Efficiency Lookup'!$D$2:$G$35,4,FALSE))</f>
        <v>0</v>
      </c>
      <c r="AW221" s="864">
        <f>$V221*AV221</f>
        <v>0</v>
      </c>
      <c r="AX221" s="847">
        <f>IF(X221="RR",IF((0.0326*(AA221^5)-0.2806*(AA221^4)+0.9816*(AA221^3)-1.8039*(AA221^2)+1.8292*AA221-0.0098)&gt;0.85,0.85,IF((0.0326*(AA221^5)-0.2806*(AA221^4)+0.9816*(AA221^3)-1.8039*(AA221^2)+1.8292*AA221-0.0098)&lt;0,0,(0.0326*(AA221^5)-0.2806*(AA221^4)+0.9816*(AA221^3)-1.8039*(AA221^2)+1.8292*AA221-0.0098))),IF((0.0304*(AA221^5)-0.2619*(AA221^4)+0.9161*(AA221^3)-1.6837*(AA221^2)+1.7072*AA221-0.0091)&gt;0.8,0.8,IF((0.0304*(AA221^5)-0.2619*(AA221^4)+0.9161*(AA221^3)-1.6837*(AA221^2)+1.7072*AA221-0.0091)&lt;0,0,(0.0304*(AA221^5)-0.2619*(AA221^4)+0.9161*(AA221^3)-1.6837*(AA221^2)+1.7072*AA221-0.0091))))</f>
        <v>8.5208351251142844E-2</v>
      </c>
      <c r="AY221" s="848">
        <f>$V221*AX221</f>
        <v>38.853188784763567</v>
      </c>
      <c r="AZ221" s="842">
        <f>IF(AS221=AP221,AW221,AY221)</f>
        <v>38.853188784763567</v>
      </c>
      <c r="BA221" s="848">
        <f>AZ221</f>
        <v>38.853188784763567</v>
      </c>
      <c r="BB221" s="848">
        <f>BA221*AN221</f>
        <v>38.853188784763567</v>
      </c>
      <c r="BC221" s="1097"/>
      <c r="BD221" s="1098"/>
      <c r="BE221" s="1098"/>
      <c r="BF221" s="828"/>
    </row>
    <row r="222" spans="1:58" ht="18.600000000000001" customHeight="1" x14ac:dyDescent="0.25">
      <c r="A222" s="11"/>
      <c r="B222" s="11"/>
      <c r="C222" s="11"/>
      <c r="D222" s="13"/>
      <c r="E222" s="1048"/>
      <c r="F222" s="1048"/>
      <c r="G222" s="1048"/>
      <c r="H222" s="1021"/>
      <c r="I222" s="1021"/>
      <c r="M222" s="529"/>
      <c r="N222" s="811"/>
      <c r="O222" s="14"/>
      <c r="AB222" s="5"/>
      <c r="AC222" s="72" t="str">
        <f>IF(OR(G222="filterra",G222="stormfilter"),0.5,IF(B222=0,"","NA"))</f>
        <v/>
      </c>
      <c r="AS222" s="14"/>
      <c r="AW222"/>
      <c r="AZ222" s="14"/>
      <c r="BA222" s="14"/>
      <c r="BB222" s="14"/>
    </row>
    <row r="223" spans="1:58" s="826" customFormat="1" ht="18.600000000000001" customHeight="1" x14ac:dyDescent="0.25">
      <c r="A223" s="814" t="s">
        <v>516</v>
      </c>
      <c r="B223" s="814"/>
      <c r="C223" s="814"/>
      <c r="D223" s="1095" t="s">
        <v>271</v>
      </c>
      <c r="E223" s="1096"/>
      <c r="F223" s="1002"/>
      <c r="G223" s="1002"/>
      <c r="H223" s="815"/>
      <c r="I223" s="815"/>
      <c r="J223" s="1002" t="s">
        <v>348</v>
      </c>
      <c r="K223" s="814">
        <v>1.8</v>
      </c>
      <c r="L223" s="814"/>
      <c r="M223" s="814">
        <f>(0.66*K223-0.3*K223)/(0.9-0.3)</f>
        <v>1.08</v>
      </c>
      <c r="N223" s="814">
        <f>(0.63*K223-0.3*K223)/(0.9-0.3)</f>
        <v>0.99</v>
      </c>
      <c r="O223" s="817">
        <f>+M223/K223</f>
        <v>0.6</v>
      </c>
      <c r="P223" s="817">
        <f>+N223/K223</f>
        <v>0.54999999999999993</v>
      </c>
      <c r="Q223" s="818">
        <f>43*0.9*(0.05+0.9*0.16)*0.26*$K223*2.72/12</f>
        <v>0.79642742400000011</v>
      </c>
      <c r="R223" s="819">
        <f>43*0.9*(0.05+0.9*O223)*0.26*$K223*2.72/12</f>
        <v>2.4221246400000007</v>
      </c>
      <c r="S223" s="818">
        <f>IF(J223="R",R223,Q223)</f>
        <v>2.4221246400000007</v>
      </c>
      <c r="T223" s="818">
        <f>43*0.9*(0.05+0.9*P223)*0.26*$K223*2.72/12</f>
        <v>2.2373863200000002</v>
      </c>
      <c r="U223" s="818">
        <f>T223*5.2</f>
        <v>11.634408864000001</v>
      </c>
      <c r="V223" s="818">
        <f>T223*420.9</f>
        <v>941.71590208800001</v>
      </c>
      <c r="W223" s="818">
        <f>IF(P223 &lt; 16%, 0, IF(K223 &lt; 1, 0, T223-S223))</f>
        <v>-0.18473832000000057</v>
      </c>
      <c r="X223" s="824"/>
      <c r="Y223" s="820"/>
      <c r="Z223" s="820"/>
      <c r="AA223" s="834"/>
      <c r="AB223" s="835"/>
      <c r="AC223" s="836"/>
      <c r="AD223" s="823"/>
      <c r="AE223" s="836"/>
      <c r="AF223" s="823"/>
      <c r="AG223" s="836"/>
      <c r="AH223" s="823"/>
      <c r="AI223" s="839"/>
      <c r="AJ223" s="823"/>
      <c r="AK223" s="843" t="str">
        <f>IF(AC223="","",MAX(AD223,AF223,AH223,AJ223))</f>
        <v/>
      </c>
      <c r="AL223" s="823" t="str">
        <f>AK223</f>
        <v/>
      </c>
      <c r="AM223" s="823"/>
      <c r="AN223" s="836"/>
      <c r="AO223" s="844"/>
      <c r="AP223" s="823"/>
      <c r="AQ223" s="836"/>
      <c r="AR223" s="823"/>
      <c r="AS223" s="845"/>
      <c r="AT223" s="823"/>
      <c r="AU223" s="823"/>
      <c r="AV223" s="844"/>
      <c r="AW223" s="823"/>
      <c r="AX223" s="836"/>
      <c r="AY223" s="823"/>
      <c r="AZ223" s="842"/>
      <c r="BA223" s="823"/>
      <c r="BB223" s="823"/>
      <c r="BC223" s="1003">
        <f>-W223</f>
        <v>0.18473832000000057</v>
      </c>
      <c r="BD223" s="1004">
        <f>BC223*5.2</f>
        <v>0.96063926400000299</v>
      </c>
      <c r="BE223" s="1004">
        <f>BC223*420.9</f>
        <v>77.756358888000236</v>
      </c>
      <c r="BF223" s="828" t="s">
        <v>510</v>
      </c>
    </row>
    <row r="224" spans="1:58" ht="18.600000000000001" customHeight="1" x14ac:dyDescent="0.25">
      <c r="A224" s="11"/>
      <c r="B224" s="1048"/>
      <c r="C224" s="1048"/>
      <c r="D224" s="13"/>
      <c r="E224" s="1048"/>
      <c r="F224" s="1048"/>
      <c r="G224" s="1048"/>
      <c r="H224" s="1021"/>
      <c r="I224" s="1021"/>
      <c r="J224" s="1048"/>
      <c r="K224" s="11"/>
      <c r="L224" s="11"/>
      <c r="M224" s="11"/>
      <c r="N224" s="11"/>
      <c r="O224" s="25"/>
      <c r="P224" s="25"/>
      <c r="Q224" s="8"/>
      <c r="R224" s="8"/>
      <c r="S224" s="8"/>
      <c r="T224" s="8"/>
      <c r="U224" s="8"/>
      <c r="V224" s="8"/>
      <c r="W224" s="8"/>
      <c r="X224" s="34"/>
      <c r="Y224" s="257"/>
      <c r="Z224" s="257"/>
      <c r="AA224" s="258"/>
      <c r="AB224" s="742"/>
      <c r="AC224" s="288"/>
      <c r="AD224" s="742"/>
      <c r="AE224" s="134"/>
      <c r="AF224" s="133"/>
      <c r="AG224" s="336"/>
      <c r="AH224" s="133"/>
      <c r="AI224" s="132"/>
      <c r="AJ224" s="133"/>
      <c r="AK224" s="516"/>
      <c r="AL224" s="34"/>
      <c r="AM224" s="313"/>
      <c r="AN224" s="288"/>
      <c r="AO224" s="809"/>
      <c r="AP224" s="808"/>
      <c r="AQ224" s="288"/>
      <c r="AR224" s="313"/>
      <c r="AS224" s="400"/>
      <c r="AT224" s="313"/>
      <c r="AU224" s="313"/>
      <c r="AV224" s="809"/>
      <c r="AW224" s="808"/>
      <c r="AX224" s="288"/>
      <c r="AY224" s="313"/>
      <c r="AZ224" s="400"/>
      <c r="BA224" s="313"/>
      <c r="BB224" s="313"/>
      <c r="BC224" s="867"/>
      <c r="BD224" s="318"/>
      <c r="BE224" s="318"/>
      <c r="BF224" s="306"/>
    </row>
    <row r="225" spans="1:59" ht="18.600000000000001" customHeight="1" x14ac:dyDescent="0.25">
      <c r="A225" s="11"/>
      <c r="B225" s="11"/>
      <c r="C225" s="11"/>
      <c r="D225" s="13"/>
      <c r="E225" s="1048"/>
      <c r="F225" s="1048"/>
      <c r="G225"/>
      <c r="I225" s="1021"/>
      <c r="M225" s="529"/>
      <c r="N225" s="1005"/>
      <c r="AB225" s="5"/>
      <c r="AC225" s="72"/>
      <c r="AS225" s="14"/>
      <c r="AW225"/>
      <c r="AZ225" s="14"/>
      <c r="BA225" s="14"/>
      <c r="BB225" s="14"/>
    </row>
    <row r="226" spans="1:59" s="826" customFormat="1" ht="18.600000000000001" customHeight="1" x14ac:dyDescent="0.25">
      <c r="A226" s="814" t="s">
        <v>517</v>
      </c>
      <c r="B226" s="814"/>
      <c r="C226" s="814"/>
      <c r="D226" s="1095" t="s">
        <v>271</v>
      </c>
      <c r="E226" s="1096"/>
      <c r="F226" s="1002"/>
      <c r="G226" s="1002"/>
      <c r="H226" s="815"/>
      <c r="I226" s="815"/>
      <c r="J226" s="1002"/>
      <c r="K226" s="814">
        <v>0.73299999999999998</v>
      </c>
      <c r="L226" s="814"/>
      <c r="M226" s="814">
        <v>0</v>
      </c>
      <c r="N226" s="816">
        <f>K226*0.77</f>
        <v>0.56440999999999997</v>
      </c>
      <c r="O226" s="817">
        <f>+M226/K226</f>
        <v>0</v>
      </c>
      <c r="P226" s="817">
        <f>+N226/K226</f>
        <v>0.77</v>
      </c>
      <c r="Q226" s="818">
        <f>43*0.9*(0.05+0.9*0.16)*0.26*$K226*2.72/12</f>
        <v>0.32432294544000001</v>
      </c>
      <c r="R226" s="819">
        <f>43*0.9*(0.05+0.9*O226)*0.26*$K226*2.72/12</f>
        <v>8.3588388000000013E-2</v>
      </c>
      <c r="S226" s="818">
        <f>IF(J226="R",R226,Q226)</f>
        <v>0.32432294544000001</v>
      </c>
      <c r="T226" s="818">
        <f>43*0.9*(0.05+0.9*P226)*0.26*$K226*2.72/12</f>
        <v>1.2421234456800001</v>
      </c>
      <c r="U226" s="818">
        <f>T226*5.2</f>
        <v>6.459041917536001</v>
      </c>
      <c r="V226" s="818">
        <f>T226*420.9</f>
        <v>522.80975828671205</v>
      </c>
      <c r="W226" s="818">
        <f>IF(P226 &lt; 16%, 0, IF(K226 &lt; 1, 0, T226-S226))</f>
        <v>0</v>
      </c>
      <c r="X226" s="818"/>
      <c r="Y226" s="820"/>
      <c r="Z226" s="820"/>
      <c r="AA226" s="818"/>
      <c r="AB226" s="821" t="s">
        <v>297</v>
      </c>
      <c r="AC226" s="822"/>
      <c r="AD226" s="819"/>
      <c r="AE226" s="823"/>
      <c r="AF226" s="824"/>
      <c r="AG226" s="819"/>
      <c r="AH226" s="823"/>
      <c r="AI226" s="819"/>
      <c r="AJ226" s="823"/>
      <c r="AK226" s="825" t="str">
        <f>IF(AC226="","",MAX(AD226,AF226,AH226,AJ226))</f>
        <v/>
      </c>
      <c r="AO226" s="827"/>
      <c r="AP226" s="819"/>
      <c r="AQ226" s="819"/>
      <c r="AR226" s="819"/>
      <c r="AS226" s="828"/>
      <c r="AU226" s="829"/>
      <c r="AV226" s="827"/>
      <c r="AW226" s="819"/>
      <c r="AX226" s="819"/>
      <c r="AY226" s="819"/>
      <c r="AZ226" s="830"/>
      <c r="BA226" s="824"/>
      <c r="BB226" s="856"/>
      <c r="BC226" s="868"/>
      <c r="BF226" s="828" t="s">
        <v>510</v>
      </c>
    </row>
    <row r="227" spans="1:59" s="826" customFormat="1" ht="18.600000000000001" customHeight="1" x14ac:dyDescent="0.25">
      <c r="A227" s="831"/>
      <c r="B227" s="814"/>
      <c r="C227" s="814"/>
      <c r="D227" s="832"/>
      <c r="E227" s="833"/>
      <c r="F227" s="815" t="s">
        <v>518</v>
      </c>
      <c r="G227" s="833"/>
      <c r="H227" s="833"/>
      <c r="I227" s="833"/>
      <c r="J227" s="833"/>
      <c r="K227" s="814"/>
      <c r="L227" s="814"/>
      <c r="M227" s="814"/>
      <c r="N227" s="814"/>
      <c r="O227" s="817"/>
      <c r="P227" s="817"/>
      <c r="Q227" s="818"/>
      <c r="R227" s="818"/>
      <c r="S227" s="818"/>
      <c r="T227" s="818"/>
      <c r="U227" s="818"/>
      <c r="V227" s="818"/>
      <c r="W227" s="818"/>
      <c r="X227" s="824"/>
      <c r="Y227" s="820"/>
      <c r="Z227" s="820"/>
      <c r="AA227" s="834"/>
      <c r="AB227" s="835"/>
      <c r="AC227" s="836"/>
      <c r="AD227" s="837"/>
      <c r="AE227" s="836"/>
      <c r="AF227" s="823"/>
      <c r="AG227" s="838"/>
      <c r="AH227" s="824"/>
      <c r="AI227" s="839"/>
      <c r="AJ227" s="823"/>
      <c r="AK227" s="840">
        <v>1.21</v>
      </c>
      <c r="AL227" s="841">
        <f>SUM(AK227:AK227)</f>
        <v>1.21</v>
      </c>
      <c r="AM227" s="841">
        <f>AL227-W226</f>
        <v>1.21</v>
      </c>
      <c r="AN227" s="869">
        <f>AM227/AL227</f>
        <v>1</v>
      </c>
      <c r="AO227" s="870">
        <f>IF(ISNA(VLOOKUP(I227,'Efficiency Lookup'!$D$2:$G$35,3,FALSE)),0,VLOOKUP(I227,'Efficiency Lookup'!$D$2:$G$35,3,FALSE))</f>
        <v>0</v>
      </c>
      <c r="AP227" s="1017">
        <f>U227*AO227</f>
        <v>0</v>
      </c>
      <c r="AQ227" s="871">
        <f>IF(X227="RR",IF((0.0308*(AA227^5)-0.2562*(AA227^4)+0.8634*(AA227^3)-1.5285*(AA227^2)+1.501*AA227-0.013)&gt;0.7,0.7,IF((0.0308*(AA227^5)-0.2562*(AA227^4)+0.8634*(AA227^3)-1.5285*(AA227^2)+1.501*AA227-0.013)&lt;0,0,(0.0308*(AA227^5)-0.2562*(AA227^4)+0.8634*(AA227^3)-1.5285*(AA227^2)+1.501*AA227-0.013))),IF((0.0152*(AA227^5)-0.131*(AA227^4)+0.4581*(AA227^3)-0.8418*(AA227^2)+0.8536*AA227-0.0046)&gt;0.65,0.65,IF((0.0152*(AA227^5)-0.131*(AA227^4)+0.4581*(AA227^3)-0.8418*(AA227^2)+0.8536*AA227-0.0046)&lt;0,0,(0.0152*(AA227^5)-0.131*(AA227^4)+0.4581*(AA227^3)-0.8418*(AA227^2)+0.8536*AA227-0.0046))))</f>
        <v>0</v>
      </c>
      <c r="AR227" s="872">
        <f>U227*AQ227</f>
        <v>0</v>
      </c>
      <c r="AS227" s="866">
        <f>IF(AK227=AF227,MAX(AP227,AR227),IF(AK227=AH227,AP227,AR227))</f>
        <v>0</v>
      </c>
      <c r="AT227" s="841">
        <f>SUM(AS227:AS227)</f>
        <v>0</v>
      </c>
      <c r="AU227" s="841">
        <f>AT227*AN227</f>
        <v>0</v>
      </c>
      <c r="AV227" s="870">
        <f>IF(ISNA(VLOOKUP(I227,'Efficiency Lookup'!$D$2:$G$35,4,FALSE)),0,VLOOKUP(I227,'Efficiency Lookup'!$D$2:$G$35,4,FALSE))</f>
        <v>0</v>
      </c>
      <c r="AW227" s="1017">
        <f>$V227*AV227</f>
        <v>0</v>
      </c>
      <c r="AX227" s="871">
        <f>IF(X227="RR",IF((0.0326*(AA227^5)-0.2806*(AA227^4)+0.9816*(AA227^3)-1.8039*(AA227^2)+1.8292*AA227-0.0098)&gt;0.85,0.85,IF((0.0326*(AA227^5)-0.2806*(AA227^4)+0.9816*(AA227^3)-1.8039*(AA227^2)+1.8292*AA227-0.0098)&lt;0,0,(0.0326*(AA227^5)-0.2806*(AA227^4)+0.9816*(AA227^3)-1.8039*(AA227^2)+1.8292*AA227-0.0098))),IF((0.0304*(AA227^5)-0.2619*(AA227^4)+0.9161*(AA227^3)-1.6837*(AA227^2)+1.7072*AA227-0.0091)&gt;0.8,0.8,IF((0.0304*(AA227^5)-0.2619*(AA227^4)+0.9161*(AA227^3)-1.6837*(AA227^2)+1.7072*AA227-0.0091)&lt;0,0,(0.0304*(AA227^5)-0.2619*(AA227^4)+0.9161*(AA227^3)-1.6837*(AA227^2)+1.7072*AA227-0.0091))))</f>
        <v>0</v>
      </c>
      <c r="AY227" s="872">
        <f>$V227*AX227</f>
        <v>0</v>
      </c>
      <c r="AZ227" s="866">
        <f>IF(AS227=AP227,AW227,AY227)</f>
        <v>0</v>
      </c>
      <c r="BA227" s="998">
        <f>SUM(AZ227:AZ227)</f>
        <v>0</v>
      </c>
      <c r="BB227" s="998">
        <f>BA227*AN227</f>
        <v>0</v>
      </c>
      <c r="BC227" s="999">
        <f>AM227</f>
        <v>1.21</v>
      </c>
      <c r="BD227" s="1000">
        <f>AU227</f>
        <v>0</v>
      </c>
      <c r="BE227" s="1000">
        <f>BB227</f>
        <v>0</v>
      </c>
      <c r="BF227" s="828"/>
    </row>
    <row r="228" spans="1:59" ht="18.600000000000001" customHeight="1" x14ac:dyDescent="0.25">
      <c r="A228" s="11"/>
      <c r="B228" s="1048"/>
      <c r="C228" s="11"/>
      <c r="D228" s="13"/>
      <c r="E228" s="1048"/>
      <c r="F228" s="1048"/>
      <c r="G228" s="1048"/>
      <c r="H228" s="1021"/>
      <c r="I228" s="1021"/>
      <c r="M228" s="11"/>
      <c r="N228" s="11"/>
      <c r="AB228" s="5"/>
      <c r="AC228" s="72"/>
      <c r="AK228" s="399"/>
      <c r="AO228" s="399"/>
      <c r="AS228" s="306"/>
      <c r="AV228" s="399"/>
      <c r="AW228"/>
      <c r="AZ228" s="306"/>
      <c r="BA228" s="14"/>
      <c r="BB228" s="14"/>
      <c r="BC228" s="399"/>
      <c r="BF228" s="399"/>
    </row>
    <row r="229" spans="1:59" s="826" customFormat="1" ht="18.600000000000001" customHeight="1" x14ac:dyDescent="0.25">
      <c r="A229" s="814" t="s">
        <v>519</v>
      </c>
      <c r="B229" s="850"/>
      <c r="C229" s="814"/>
      <c r="D229" s="1095" t="s">
        <v>271</v>
      </c>
      <c r="E229" s="1096"/>
      <c r="F229" s="833"/>
      <c r="G229" s="846" t="s">
        <v>143</v>
      </c>
      <c r="H229" s="846" t="s">
        <v>143</v>
      </c>
      <c r="I229" s="846" t="s">
        <v>143</v>
      </c>
      <c r="J229" s="832" t="s">
        <v>348</v>
      </c>
      <c r="K229" s="816">
        <f>(46823+967+3226+2259)/43560</f>
        <v>1.2230257116620753</v>
      </c>
      <c r="L229" s="816"/>
      <c r="M229" s="816">
        <f>0.051647+0.074872+0.022069+0.984803</f>
        <v>1.133391</v>
      </c>
      <c r="N229" s="816">
        <f>M229-(434+154+150+228+192+204+166+1780-591)/43560</f>
        <v>1.0710172626262626</v>
      </c>
      <c r="O229" s="817">
        <f>+M229/K229</f>
        <v>0.92671068906616616</v>
      </c>
      <c r="P229" s="817">
        <f>+N229/K229</f>
        <v>0.87571115832942281</v>
      </c>
      <c r="Q229" s="854">
        <f>43*0.9*(0.05+0.9*0.16)*0.26*$K229*2.72/12</f>
        <v>0.54113956501377414</v>
      </c>
      <c r="R229" s="854">
        <f>43*0.9*(0.05+0.9*O229)*0.26*$K229*2.72/12</f>
        <v>2.4659217294230968</v>
      </c>
      <c r="S229" s="818">
        <f>IF(J229="R",R229,Q229)</f>
        <v>2.4659217294230968</v>
      </c>
      <c r="T229" s="818">
        <f>43*0.9*(0.05+0.9*P229)*0.26*$K229*2.72/12</f>
        <v>2.3378904021503697</v>
      </c>
      <c r="U229" s="818">
        <f>IF(M229="R",T229,S229)</f>
        <v>2.4659217294230968</v>
      </c>
      <c r="V229" s="818">
        <f>43*0.9*(0.05+0.9*R229)*0.26*$K229*2.72/12</f>
        <v>6.3300206652933726</v>
      </c>
      <c r="W229" s="818">
        <f>IF(P229 &lt; 16%, 0, IF(K229 &lt; 1, 0, T229-S229))</f>
        <v>-0.12803132727272715</v>
      </c>
      <c r="X229" s="824"/>
      <c r="Y229" s="820"/>
      <c r="Z229" s="820"/>
      <c r="AA229" s="834"/>
      <c r="AB229" s="835"/>
      <c r="AC229" s="836"/>
      <c r="AD229" s="823"/>
      <c r="AE229" s="836"/>
      <c r="AF229" s="823"/>
      <c r="AG229" s="836"/>
      <c r="AH229" s="823"/>
      <c r="AI229" s="839"/>
      <c r="AJ229" s="823"/>
      <c r="AK229" s="843"/>
      <c r="AL229" s="823"/>
      <c r="AM229" s="823"/>
      <c r="AN229" s="836"/>
      <c r="AO229" s="844"/>
      <c r="AP229" s="823"/>
      <c r="AQ229" s="836"/>
      <c r="AR229" s="823"/>
      <c r="AS229" s="845"/>
      <c r="AT229" s="823"/>
      <c r="AU229" s="823"/>
      <c r="AV229" s="844"/>
      <c r="AW229" s="823"/>
      <c r="AX229" s="836"/>
      <c r="AY229" s="823"/>
      <c r="AZ229" s="842"/>
      <c r="BA229" s="823"/>
      <c r="BB229" s="823"/>
      <c r="BC229" s="1003">
        <f>-W229</f>
        <v>0.12803132727272715</v>
      </c>
      <c r="BD229" s="1004">
        <f>BC229*5.2</f>
        <v>0.66576290181818121</v>
      </c>
      <c r="BE229" s="1004">
        <f>BC229*420.9</f>
        <v>53.88838564909085</v>
      </c>
      <c r="BF229" s="828" t="s">
        <v>510</v>
      </c>
      <c r="BG229" s="855"/>
    </row>
    <row r="230" spans="1:59" ht="18.600000000000001" customHeight="1" x14ac:dyDescent="0.25">
      <c r="A230" s="11"/>
      <c r="B230" s="11"/>
      <c r="C230" s="11"/>
      <c r="D230" s="13"/>
      <c r="E230" s="1048"/>
      <c r="F230" s="1048"/>
      <c r="G230" s="1048"/>
      <c r="H230" s="1021"/>
      <c r="I230" s="1021"/>
      <c r="M230" s="11"/>
      <c r="N230" s="11"/>
      <c r="O230" s="807"/>
      <c r="AB230" s="5"/>
      <c r="AC230" s="72" t="str">
        <f>IF(OR(G230="filterra",G230="stormfilter"),0.5,IF(B230=0,"","NA"))</f>
        <v/>
      </c>
      <c r="AK230" s="399"/>
      <c r="AO230" s="399"/>
      <c r="AS230" s="306"/>
      <c r="AV230" s="399"/>
      <c r="AW230"/>
      <c r="AZ230" s="306"/>
      <c r="BA230" s="14"/>
      <c r="BB230" s="14"/>
      <c r="BC230" s="399"/>
      <c r="BF230" s="399"/>
    </row>
    <row r="231" spans="1:59" s="826" customFormat="1" ht="18.600000000000001" customHeight="1" x14ac:dyDescent="0.25">
      <c r="A231" s="814" t="s">
        <v>520</v>
      </c>
      <c r="B231" s="814"/>
      <c r="C231" s="814"/>
      <c r="D231" s="1095" t="s">
        <v>271</v>
      </c>
      <c r="E231" s="1096"/>
      <c r="G231" s="833"/>
      <c r="H231" s="833"/>
      <c r="I231" s="833"/>
      <c r="J231" s="1002" t="s">
        <v>348</v>
      </c>
      <c r="K231" s="816">
        <v>3.11</v>
      </c>
      <c r="L231" s="816"/>
      <c r="M231" s="816">
        <f>(89484+29416+1488)/43560</f>
        <v>2.7637281910009182</v>
      </c>
      <c r="N231" s="816">
        <f>(67584+29416+3240)/43560</f>
        <v>2.3011937557392104</v>
      </c>
      <c r="O231" s="817">
        <f>+M231/K231</f>
        <v>0.88865858231540784</v>
      </c>
      <c r="P231" s="817">
        <f>+N231/K231</f>
        <v>0.73993368351743105</v>
      </c>
      <c r="Q231" s="818">
        <f>43*0.9*(0.05+0.9*0.16)*0.26*$K231*2.72/12</f>
        <v>1.3760496048000002</v>
      </c>
      <c r="R231" s="819">
        <f>43*0.9*(0.05+0.9*O231)*0.26*$K231*2.72/12</f>
        <v>6.0276131038016532</v>
      </c>
      <c r="S231" s="818">
        <f>IF(J231="R",R231,Q231)</f>
        <v>6.0276131038016532</v>
      </c>
      <c r="T231" s="818">
        <f>43*0.9*(0.05+0.9*P231)*0.26*$K231*2.72/12</f>
        <v>5.0781927203305797</v>
      </c>
      <c r="U231" s="818">
        <f>T231*5.2</f>
        <v>26.406602145719017</v>
      </c>
      <c r="V231" s="818">
        <f>T231*420.9</f>
        <v>2137.4113159871408</v>
      </c>
      <c r="W231" s="818">
        <f>IF(P231 &lt; 16%, 0, IF(K231 &lt; 1, 0, T231-S231))</f>
        <v>-0.94942038347107349</v>
      </c>
      <c r="X231" s="824"/>
      <c r="Y231" s="820"/>
      <c r="Z231" s="820"/>
      <c r="AA231" s="834"/>
      <c r="AB231" s="835"/>
      <c r="AC231" s="836"/>
      <c r="AD231" s="823"/>
      <c r="AE231" s="836"/>
      <c r="AF231" s="823"/>
      <c r="AG231" s="836"/>
      <c r="AH231" s="823"/>
      <c r="AI231" s="839"/>
      <c r="AJ231" s="823"/>
      <c r="AK231" s="843" t="str">
        <f>IF(AC231="","",MAX(AD231,AF231,AH231,AJ231))</f>
        <v/>
      </c>
      <c r="AL231" s="823"/>
      <c r="AM231" s="823"/>
      <c r="AN231" s="836"/>
      <c r="AO231" s="844">
        <f>IF(ISNA(VLOOKUP(I231,'Efficiency Lookup'!$D$2:$G$35,3,FALSE)),0,VLOOKUP(I231,'Efficiency Lookup'!$D$2:$G$35,3,FALSE))</f>
        <v>0</v>
      </c>
      <c r="AP231" s="823">
        <f>U231*AO231</f>
        <v>0</v>
      </c>
      <c r="AQ231" s="836">
        <f>IF(X231="RR",IF((0.0308*(AA231^5)-0.2562*(AA231^4)+0.8634*(AA231^3)-1.5285*(AA231^2)+1.501*AA231-0.013)&gt;0.7,0.7,IF((0.0308*(AA231^5)-0.2562*(AA231^4)+0.8634*(AA231^3)-1.5285*(AA231^2)+1.501*AA231-0.013)&lt;0,0,(0.0308*(AA231^5)-0.2562*(AA231^4)+0.8634*(AA231^3)-1.5285*(AA231^2)+1.501*AA231-0.013))),IF((0.0152*(AA231^5)-0.131*(AA231^4)+0.4581*(AA231^3)-0.8418*(AA231^2)+0.8536*AA231-0.0046)&gt;0.65,0.65,IF((0.0152*(AA231^5)-0.131*(AA231^4)+0.4581*(AA231^3)-0.8418*(AA231^2)+0.8536*AA231-0.0046)&lt;0,0,(0.0152*(AA231^5)-0.131*(AA231^4)+0.4581*(AA231^3)-0.8418*(AA231^2)+0.8536*AA231-0.0046))))</f>
        <v>0</v>
      </c>
      <c r="AR231" s="823">
        <f>U231*AQ231</f>
        <v>0</v>
      </c>
      <c r="AS231" s="845">
        <f>IF(AK231=AF231,MAX(AP231,AR231),IF(AK231=AH231,AP231,AR231))</f>
        <v>0</v>
      </c>
      <c r="AT231" s="823">
        <f>AS231</f>
        <v>0</v>
      </c>
      <c r="AU231" s="823">
        <f>AT231*AN231</f>
        <v>0</v>
      </c>
      <c r="AV231" s="844">
        <f>IF(ISNA(VLOOKUP(I231,'Efficiency Lookup'!$D$2:$G$35,4,FALSE)),0,VLOOKUP(I231,'Efficiency Lookup'!$D$2:$G$35,4,FALSE))</f>
        <v>0</v>
      </c>
      <c r="AW231" s="823">
        <f>$V231*AV231</f>
        <v>0</v>
      </c>
      <c r="AX231" s="836">
        <f>IF(X231="RR",IF((0.0326*(AA231^5)-0.2806*(AA231^4)+0.9816*(AA231^3)-1.8039*(AA231^2)+1.8292*AA231-0.0098)&gt;0.85,0.85,IF((0.0326*(AA231^5)-0.2806*(AA231^4)+0.9816*(AA231^3)-1.8039*(AA231^2)+1.8292*AA231-0.0098)&lt;0,0,(0.0326*(AA231^5)-0.2806*(AA231^4)+0.9816*(AA231^3)-1.8039*(AA231^2)+1.8292*AA231-0.0098))),IF((0.0304*(AA231^5)-0.2619*(AA231^4)+0.9161*(AA231^3)-1.6837*(AA231^2)+1.7072*AA231-0.0091)&gt;0.8,0.8,IF((0.0304*(AA231^5)-0.2619*(AA231^4)+0.9161*(AA231^3)-1.6837*(AA231^2)+1.7072*AA231-0.0091)&lt;0,0,(0.0304*(AA231^5)-0.2619*(AA231^4)+0.9161*(AA231^3)-1.6837*(AA231^2)+1.7072*AA231-0.0091))))</f>
        <v>0</v>
      </c>
      <c r="AY231" s="823">
        <f>$V231*AX231</f>
        <v>0</v>
      </c>
      <c r="AZ231" s="842">
        <f>IF(AS231=AP231,AW231,AY231)</f>
        <v>0</v>
      </c>
      <c r="BA231" s="823">
        <f>AZ231</f>
        <v>0</v>
      </c>
      <c r="BB231" s="823">
        <f>BA231*AN231</f>
        <v>0</v>
      </c>
      <c r="BC231" s="1003">
        <f>-W231</f>
        <v>0.94942038347107349</v>
      </c>
      <c r="BD231" s="1004">
        <f>BC231*5.2</f>
        <v>4.9369859940495822</v>
      </c>
      <c r="BE231" s="1004">
        <f>BC231*420.9</f>
        <v>399.61103940297482</v>
      </c>
      <c r="BF231" s="828" t="s">
        <v>510</v>
      </c>
    </row>
    <row r="232" spans="1:59" ht="18.600000000000001" customHeight="1" x14ac:dyDescent="0.25">
      <c r="F232" s="1021"/>
      <c r="G232" s="1048"/>
      <c r="H232" s="1048"/>
      <c r="I232" s="1048"/>
      <c r="AB232" s="5"/>
      <c r="AC232" s="750" t="str">
        <f>IF(OR(G232="filterra",G232="stormfilter"),0.5,IF(B232=0,"","NA"))</f>
        <v/>
      </c>
      <c r="AD232" s="594"/>
      <c r="AK232" s="399"/>
      <c r="AO232" s="399"/>
      <c r="AS232" s="306"/>
      <c r="AV232" s="399"/>
      <c r="AW232"/>
      <c r="AZ232" s="306"/>
      <c r="BA232" s="14"/>
      <c r="BB232" s="14"/>
      <c r="BC232" s="399"/>
      <c r="BF232" s="399"/>
    </row>
    <row r="233" spans="1:59" s="826" customFormat="1" ht="18.600000000000001" customHeight="1" x14ac:dyDescent="0.25">
      <c r="A233" s="814" t="s">
        <v>521</v>
      </c>
      <c r="B233" s="850"/>
      <c r="C233" s="814"/>
      <c r="D233" s="1095" t="s">
        <v>271</v>
      </c>
      <c r="E233" s="1096"/>
      <c r="F233" s="833"/>
      <c r="G233" s="846" t="s">
        <v>143</v>
      </c>
      <c r="H233" s="846" t="s">
        <v>143</v>
      </c>
      <c r="I233" s="846" t="s">
        <v>143</v>
      </c>
      <c r="K233" s="814">
        <v>3.06</v>
      </c>
      <c r="L233" s="814"/>
      <c r="M233" s="814">
        <v>0</v>
      </c>
      <c r="N233" s="814">
        <v>0</v>
      </c>
      <c r="O233" s="817">
        <f>+M233/K233</f>
        <v>0</v>
      </c>
      <c r="P233" s="817">
        <f>+N233/K233</f>
        <v>0</v>
      </c>
      <c r="Q233" s="851">
        <f>43*0.9*(0.05+0.9*0.16)*0.26*$K233*2.72/12</f>
        <v>1.3539266208000003</v>
      </c>
      <c r="R233" s="819">
        <f>43*0.9*(0.05+0.9*O233)*0.26*$K233*2.72/12</f>
        <v>0.34895016000000006</v>
      </c>
      <c r="S233" s="818">
        <f>IF(J233="R",R233,Q233)</f>
        <v>1.3539266208000003</v>
      </c>
      <c r="T233" s="851">
        <f>43*0.9*(0.05+0.9*Q233)*0.26*$K233*2.72/12</f>
        <v>8.8531025572155535</v>
      </c>
      <c r="U233" s="818">
        <f>IF(M233="R",T233,S233)</f>
        <v>1.3539266208000003</v>
      </c>
      <c r="V233" s="818">
        <f>43*0.9*(0.05+0.9*R233)*0.26*$K233*2.72/12</f>
        <v>2.5407420149524618</v>
      </c>
      <c r="W233" s="818">
        <f>IF(P233 &lt; 16%, 0, IF(K233 &lt; 1, 0, T233-S233))</f>
        <v>0</v>
      </c>
      <c r="X233" s="818"/>
      <c r="Y233" s="818"/>
      <c r="Z233" s="824"/>
      <c r="AA233" s="820"/>
      <c r="AB233" s="820"/>
      <c r="AC233" s="834"/>
      <c r="AD233" s="835" t="s">
        <v>297</v>
      </c>
      <c r="AE233" s="836"/>
      <c r="AF233" s="823"/>
      <c r="AG233" s="836"/>
      <c r="AH233" s="823"/>
      <c r="AI233" s="836"/>
      <c r="AJ233" s="823"/>
      <c r="AK233" s="843" t="str">
        <f>IF(AC233="","",MAX(AD233,AF233,AH233,AJ233))</f>
        <v/>
      </c>
      <c r="AL233" s="823"/>
      <c r="AM233" s="848"/>
      <c r="AN233" s="823"/>
      <c r="AO233" s="844"/>
      <c r="AP233" s="836"/>
      <c r="AQ233" s="836"/>
      <c r="AR233" s="823"/>
      <c r="AS233" s="845"/>
      <c r="AT233" s="823"/>
      <c r="AU233" s="823"/>
      <c r="AV233" s="844"/>
      <c r="AW233" s="823"/>
      <c r="AX233" s="836"/>
      <c r="AY233" s="823"/>
      <c r="AZ233" s="842"/>
      <c r="BA233" s="823"/>
      <c r="BB233" s="848"/>
      <c r="BC233" s="852">
        <v>0</v>
      </c>
      <c r="BD233" s="853">
        <v>0</v>
      </c>
      <c r="BE233" s="853">
        <v>0</v>
      </c>
      <c r="BF233" s="828" t="s">
        <v>510</v>
      </c>
    </row>
    <row r="234" spans="1:59" ht="18.600000000000001" customHeight="1" x14ac:dyDescent="0.25">
      <c r="A234" s="11"/>
      <c r="B234" s="11"/>
      <c r="C234" s="11"/>
      <c r="D234" s="13"/>
      <c r="E234" s="1048"/>
      <c r="F234" s="1048"/>
      <c r="G234" s="1048"/>
      <c r="H234" s="1021"/>
      <c r="I234" s="1021"/>
      <c r="M234" s="11"/>
      <c r="N234" s="11"/>
      <c r="AB234" s="5"/>
      <c r="AC234" s="72" t="str">
        <f>IF(OR(G234="filterra",G234="stormfilter"),0.5,IF(B234=0,"","NA"))</f>
        <v/>
      </c>
      <c r="AK234" s="399"/>
      <c r="AO234" s="399"/>
      <c r="AS234" s="306"/>
      <c r="AV234" s="399"/>
      <c r="AW234"/>
      <c r="AZ234" s="306"/>
      <c r="BA234" s="14"/>
      <c r="BB234" s="14"/>
      <c r="BC234" s="399"/>
      <c r="BF234" s="399"/>
    </row>
    <row r="235" spans="1:59" s="826" customFormat="1" ht="18.600000000000001" customHeight="1" x14ac:dyDescent="0.25">
      <c r="A235" s="814" t="s">
        <v>522</v>
      </c>
      <c r="B235" s="814"/>
      <c r="C235" s="814"/>
      <c r="D235" s="1095" t="s">
        <v>271</v>
      </c>
      <c r="E235" s="1096"/>
      <c r="F235" s="1002"/>
      <c r="G235" s="846" t="s">
        <v>143</v>
      </c>
      <c r="H235" s="846" t="s">
        <v>143</v>
      </c>
      <c r="I235" s="846" t="s">
        <v>143</v>
      </c>
      <c r="J235" s="1002"/>
      <c r="K235" s="814">
        <v>1.67</v>
      </c>
      <c r="L235" s="814"/>
      <c r="M235" s="814">
        <v>0</v>
      </c>
      <c r="N235" s="814">
        <v>0</v>
      </c>
      <c r="O235" s="817">
        <f>+M235/K235</f>
        <v>0</v>
      </c>
      <c r="P235" s="817">
        <f>+N235/K235</f>
        <v>0</v>
      </c>
      <c r="Q235" s="851">
        <f>43*0.9*(0.05+0.9*0.16)*0.26*$K235*2.72/12</f>
        <v>0.7389076656000001</v>
      </c>
      <c r="R235" s="865">
        <f>43*0.9*(0.05+0.9*O235)*0.26*$K235*2.72/12</f>
        <v>0.19044012000000007</v>
      </c>
      <c r="S235" s="818">
        <f>IF(J235="R",R235,Q235)</f>
        <v>0.7389076656000001</v>
      </c>
      <c r="T235" s="818">
        <f>43*0.9*(0.05+0.9*P235)*0.26*$K235*2.72/12</f>
        <v>0.19044012000000007</v>
      </c>
      <c r="U235" s="818">
        <f>T235*5.2</f>
        <v>0.99028862400000039</v>
      </c>
      <c r="V235" s="818">
        <f>T235*420.9</f>
        <v>80.156246508000024</v>
      </c>
      <c r="W235" s="818">
        <f>IF(P235 &lt; 16%, 0, IF(K235 &lt; 1, 0, T235-S235))</f>
        <v>0</v>
      </c>
      <c r="X235" s="824"/>
      <c r="Y235" s="820"/>
      <c r="Z235" s="820"/>
      <c r="AA235" s="834"/>
      <c r="AB235" s="835"/>
      <c r="AC235" s="836"/>
      <c r="AD235" s="823"/>
      <c r="AE235" s="836"/>
      <c r="AF235" s="823"/>
      <c r="AG235" s="836"/>
      <c r="AH235" s="823"/>
      <c r="AI235" s="839"/>
      <c r="AJ235" s="823"/>
      <c r="AK235" s="843" t="str">
        <f>IF(AC235="","",MAX(AD235,AF235,AH235,AJ235))</f>
        <v/>
      </c>
      <c r="AL235" s="823"/>
      <c r="AM235" s="848"/>
      <c r="AN235" s="823"/>
      <c r="AO235" s="844"/>
      <c r="AP235" s="823"/>
      <c r="AQ235" s="836"/>
      <c r="AR235" s="823"/>
      <c r="AS235" s="845"/>
      <c r="AT235" s="823"/>
      <c r="AU235" s="823"/>
      <c r="AV235" s="844"/>
      <c r="AW235" s="823"/>
      <c r="AX235" s="836"/>
      <c r="AY235" s="823"/>
      <c r="AZ235" s="842"/>
      <c r="BA235" s="823"/>
      <c r="BB235" s="823"/>
      <c r="BC235" s="852">
        <v>0</v>
      </c>
      <c r="BD235" s="853">
        <v>0</v>
      </c>
      <c r="BE235" s="853">
        <v>0</v>
      </c>
      <c r="BF235" s="828" t="s">
        <v>510</v>
      </c>
    </row>
    <row r="236" spans="1:59" ht="18.600000000000001" customHeight="1" x14ac:dyDescent="0.25">
      <c r="A236" s="11"/>
      <c r="B236" s="11"/>
      <c r="C236" s="11"/>
      <c r="D236" s="13"/>
      <c r="E236" s="1048"/>
      <c r="F236" s="1048"/>
      <c r="G236" s="1048"/>
      <c r="H236" s="1021"/>
      <c r="I236" s="1021"/>
      <c r="M236" s="14"/>
      <c r="AB236" s="5"/>
      <c r="AC236" s="72" t="str">
        <f>IF(OR(G236="filterra",G236="stormfilter"),0.5,IF(B236=0,"","NA"))</f>
        <v/>
      </c>
      <c r="AK236" s="399"/>
      <c r="AO236" s="399"/>
      <c r="AS236" s="306"/>
      <c r="AV236" s="399"/>
      <c r="AW236"/>
      <c r="AZ236" s="306"/>
      <c r="BA236" s="14"/>
      <c r="BB236" s="14"/>
      <c r="BC236" s="399"/>
      <c r="BF236" s="399"/>
    </row>
    <row r="237" spans="1:59" s="826" customFormat="1" ht="18.600000000000001" customHeight="1" x14ac:dyDescent="0.25">
      <c r="A237" s="814" t="s">
        <v>523</v>
      </c>
      <c r="B237" s="814"/>
      <c r="C237" s="814"/>
      <c r="D237" s="1095" t="s">
        <v>271</v>
      </c>
      <c r="E237" s="1096"/>
      <c r="F237" s="1002"/>
      <c r="G237" s="1002"/>
      <c r="H237" s="815"/>
      <c r="I237" s="815"/>
      <c r="J237" s="1002" t="s">
        <v>348</v>
      </c>
      <c r="K237" s="814">
        <v>2.71</v>
      </c>
      <c r="L237" s="814"/>
      <c r="M237" s="814">
        <v>0.19600000000000001</v>
      </c>
      <c r="N237" s="814">
        <f>(50722+165)/43560</f>
        <v>1.1682047750229569</v>
      </c>
      <c r="O237" s="817">
        <f>+M237/K237</f>
        <v>7.2324723247232478E-2</v>
      </c>
      <c r="P237" s="817">
        <f>+N237/K237</f>
        <v>0.43107187270219816</v>
      </c>
      <c r="Q237" s="818">
        <f>43*0.9*(0.05+0.9*0.16)*0.26*$K237*2.72/12</f>
        <v>1.1990657328000001</v>
      </c>
      <c r="R237" s="819">
        <f>43*0.9*(0.05+0.9*O237)*0.26*$K237*2.72/12</f>
        <v>0.71135656800000013</v>
      </c>
      <c r="S237" s="818">
        <f>IF(J237="R",R237,Q237)</f>
        <v>0.71135656800000013</v>
      </c>
      <c r="T237" s="818">
        <f>43*0.9*(0.05+0.9*P237)*0.26*$K237*2.72/12</f>
        <v>2.7069507550413232</v>
      </c>
      <c r="U237" s="818">
        <f>T237*5.2</f>
        <v>14.076143926214881</v>
      </c>
      <c r="V237" s="818">
        <f>T237*420.9</f>
        <v>1139.3555727968928</v>
      </c>
      <c r="W237" s="818">
        <f>IF(P237 &lt; 16%, 0, IF(K237 &lt; 1, 0, T237-S237))</f>
        <v>1.995594187041323</v>
      </c>
      <c r="X237" s="824"/>
      <c r="Y237" s="820"/>
      <c r="Z237" s="820"/>
      <c r="AA237" s="834"/>
      <c r="AB237" s="835"/>
      <c r="AC237" s="836"/>
      <c r="AD237" s="823"/>
      <c r="AE237" s="836"/>
      <c r="AF237" s="823"/>
      <c r="AG237" s="836"/>
      <c r="AH237" s="823"/>
      <c r="AI237" s="839"/>
      <c r="AJ237" s="823"/>
      <c r="AK237" s="843" t="str">
        <f>IF(AC237="","",MAX(AD237,AF237,AH237,AJ237))</f>
        <v/>
      </c>
      <c r="AL237" s="823" t="str">
        <f>AK237</f>
        <v/>
      </c>
      <c r="AM237" s="823"/>
      <c r="AN237" s="836"/>
      <c r="AO237" s="844"/>
      <c r="AP237" s="823"/>
      <c r="AQ237" s="836"/>
      <c r="AR237" s="823"/>
      <c r="AS237" s="845"/>
      <c r="AT237" s="823"/>
      <c r="AU237" s="823"/>
      <c r="AV237" s="844"/>
      <c r="AW237" s="823"/>
      <c r="AX237" s="836"/>
      <c r="AY237" s="823"/>
      <c r="AZ237" s="842"/>
      <c r="BA237" s="823"/>
      <c r="BB237" s="823"/>
      <c r="BC237" s="1097">
        <f>AM238</f>
        <v>2.9487259239669328E-2</v>
      </c>
      <c r="BD237" s="1098">
        <f>AU238</f>
        <v>0.14311149817652846</v>
      </c>
      <c r="BE237" s="1098">
        <f>BB238</f>
        <v>13.238599908241941</v>
      </c>
      <c r="BF237" s="828" t="s">
        <v>510</v>
      </c>
    </row>
    <row r="238" spans="1:59" s="826" customFormat="1" ht="18.600000000000001" customHeight="1" x14ac:dyDescent="0.25">
      <c r="A238" s="814"/>
      <c r="B238" s="814">
        <v>-78.460401000000005</v>
      </c>
      <c r="C238" s="814">
        <v>38.053244999999997</v>
      </c>
      <c r="D238" s="846">
        <v>1</v>
      </c>
      <c r="E238" s="833" t="s">
        <v>281</v>
      </c>
      <c r="F238" s="833" t="s">
        <v>342</v>
      </c>
      <c r="G238" s="833"/>
      <c r="H238" s="815" t="s">
        <v>343</v>
      </c>
      <c r="I238" s="815" t="s">
        <v>315</v>
      </c>
      <c r="J238" s="833"/>
      <c r="K238" s="814">
        <v>2.65</v>
      </c>
      <c r="L238" s="814"/>
      <c r="M238" s="814">
        <f>M237</f>
        <v>0.19600000000000001</v>
      </c>
      <c r="N238" s="814">
        <f>N237</f>
        <v>1.1682047750229569</v>
      </c>
      <c r="O238" s="817">
        <f>+M238/K238</f>
        <v>7.3962264150943396E-2</v>
      </c>
      <c r="P238" s="817">
        <f>+N238/K238</f>
        <v>0.44083199057470074</v>
      </c>
      <c r="Q238" s="818"/>
      <c r="R238" s="818"/>
      <c r="S238" s="818"/>
      <c r="T238" s="818">
        <f>IF(J237="TT",IF(F237="u/g detention",(43*0.9*(0.05+0.9*P238)*0.26*$K238*2.72/12)-AK230,(43*0.9*(0.05+0.9*P238)*0.26*$K238*2.72/12)-AK237),43*0.9*(0.05+0.9*P238)*0.26*$K238*2.72/12)</f>
        <v>2.7001085950413231</v>
      </c>
      <c r="U238" s="818">
        <f>T238*5.2</f>
        <v>14.040564694214881</v>
      </c>
      <c r="V238" s="818">
        <f>T238*420.9</f>
        <v>1136.4757076528929</v>
      </c>
      <c r="W238" s="818"/>
      <c r="X238" s="824" t="s">
        <v>285</v>
      </c>
      <c r="Y238" s="820">
        <f>((1.5+2)*0.4+1)*1290</f>
        <v>3096.0000000000005</v>
      </c>
      <c r="Z238" s="820">
        <f>N238</f>
        <v>1.1682047750229569</v>
      </c>
      <c r="AA238" s="834">
        <f>IF(Y238="NA", 0, (Y238/43560)*12/Z238)</f>
        <v>0.73008823471613571</v>
      </c>
      <c r="AB238" s="835"/>
      <c r="AC238" s="836" t="str">
        <f>IF(G238="filterra",0.5, IF(G238="stormfilter",0.45,IF(B238=0,"","NA")))</f>
        <v>NA</v>
      </c>
      <c r="AD238" s="837">
        <f>IF(AC238="NA",0,IF(AC238="","",T238*AC238))</f>
        <v>0</v>
      </c>
      <c r="AE238" s="836">
        <f>IF(ISNA(VLOOKUP(H238,'Efficiency Lookup'!$B$2:$C$38,2,FALSE)),0,(VLOOKUP(H238,'Efficiency Lookup'!$B$2:$C$38,2,FALSE)))</f>
        <v>0.5</v>
      </c>
      <c r="AF238" s="823">
        <f>T238*AE238</f>
        <v>1.3500542975206615</v>
      </c>
      <c r="AG238" s="847">
        <f>IF(ISNA(VLOOKUP(I238,'Efficiency Lookup'!$D$2:$E$35,2,FALSE)),0,VLOOKUP(I238,'Efficiency Lookup'!$D$2:$E$35,2,FALSE))</f>
        <v>0.75</v>
      </c>
      <c r="AH238" s="848">
        <f>T238*AG238</f>
        <v>2.0250814462809923</v>
      </c>
      <c r="AI238" s="839">
        <f>IF(X238="RR",IF((0.0304*(AA238^5)-0.2619*(AA238^4)+0.9161*(AA238^3)-1.6837*(AA238^2)+1.7072*AA238-0.0091)&gt;0.85,0.85,IF((0.0304*(AA238^5)-0.2619*(AA238^4)+0.9161*(AA238^3)-1.6837*(AA238^2)+1.7072*AA238-0.0091)&lt;0,0,(0.0304*(AA238^5)-0.2619*(AA238^4)+0.9161*(AA238^3)-1.6837*(AA238^2)+1.7072*AA238-0.0091))),IF((0.0239*(AA238^5)-0.2058*(AA238^4)+0.7198*(AA238^3)-1.3229*(AA238^2)+1.3414*AA238-0.0072)&gt;0.65,0.65,IF((0.0239*(AA238^5)-0.2058*(AA238^4)+0.7198*(AA238^3)-1.3229*(AA238^2)+1.3414*AA238-0.0072)&lt;0,0,(0.0239*(AA238^5)-0.2058*(AA238^4)+0.7198*(AA238^3)-1.3229*(AA238^2)+1.3414*AA238-0.0072))))</f>
        <v>0.62824869647933956</v>
      </c>
      <c r="AJ238" s="823">
        <f>T238*AI238</f>
        <v>1.6963397051873721</v>
      </c>
      <c r="AK238" s="840">
        <f>IF(AC238="","",MAX(AD238,AF238,AH238,AJ238))</f>
        <v>2.0250814462809923</v>
      </c>
      <c r="AL238" s="824">
        <f>AK238</f>
        <v>2.0250814462809923</v>
      </c>
      <c r="AM238" s="848">
        <f>AL238-W237</f>
        <v>2.9487259239669328E-2</v>
      </c>
      <c r="AN238" s="847">
        <f>AM238/AL238</f>
        <v>1.4561023851076157E-2</v>
      </c>
      <c r="AO238" s="849">
        <f>IF(ISNA(VLOOKUP(I238,'Efficiency Lookup'!$D$2:$G$35,3,FALSE)),0,VLOOKUP(I238,'Efficiency Lookup'!$D$2:$G$35,3,FALSE))</f>
        <v>0.7</v>
      </c>
      <c r="AP238" s="848">
        <f>U238*AO238</f>
        <v>9.8283952859504158</v>
      </c>
      <c r="AQ238" s="836">
        <f>IF(X238="RR",IF((0.0308*(AA238^5)-0.2562*(AA238^4)+0.8634*(AA238^3)-1.5285*(AA238^2)+1.501*AA238-0.013)&gt;0.7,0.7,IF((0.0308*(AA238^5)-0.2562*(AA238^4)+0.8634*(AA238^3)-1.5285*(AA238^2)+1.501*AA238-0.013)&lt;0,0,(0.0308*(AA238^5)-0.2562*(AA238^4)+0.8634*(AA238^3)-1.5285*(AA238^2)+1.501*AA238-0.013))),IF((0.0152*(AA238^5)-0.131*(AA238^4)+0.4581*(AA238^3)-0.8418*(AA238^2)+0.8536*AA238-0.0046)&gt;0.65,0.65,IF((0.0152*(AA238^5)-0.131*(AA238^4)+0.4581*(AA238^3)-0.8418*(AA238^2)+0.8536*AA238-0.0046)&lt;0,0,(0.0152*(AA238^5)-0.131*(AA238^4)+0.4581*(AA238^3)-0.8418*(AA238^2)+0.8536*AA238-0.0046))))</f>
        <v>0.53772440173958258</v>
      </c>
      <c r="AR238" s="823">
        <f>U238*AQ238</f>
        <v>7.5499542502826023</v>
      </c>
      <c r="AS238" s="842">
        <f>IF(AK238=AF238,MAX(AP238,AR238),IF(AK238=AH238,AP238,AR238))</f>
        <v>9.8283952859504158</v>
      </c>
      <c r="AT238" s="848">
        <f>AS238</f>
        <v>9.8283952859504158</v>
      </c>
      <c r="AU238" s="848">
        <f>AT238*AN238</f>
        <v>0.14311149817652846</v>
      </c>
      <c r="AV238" s="849">
        <f>IF(ISNA(VLOOKUP(I238,'Efficiency Lookup'!$D$2:$G$35,4,FALSE)),0,VLOOKUP(I238,'Efficiency Lookup'!$D$2:$G$35,4,FALSE))</f>
        <v>0.8</v>
      </c>
      <c r="AW238" s="848">
        <f>$V238*AV238</f>
        <v>909.1805661223143</v>
      </c>
      <c r="AX238" s="836">
        <f>IF(X238="RR",IF((0.0326*(AA238^5)-0.2806*(AA238^4)+0.9816*(AA238^3)-1.8039*(AA238^2)+1.8292*AA238-0.0098)&gt;0.85,0.85,IF((0.0326*(AA238^5)-0.2806*(AA238^4)+0.9816*(AA238^3)-1.8039*(AA238^2)+1.8292*AA238-0.0098)&lt;0,0,(0.0326*(AA238^5)-0.2806*(AA238^4)+0.9816*(AA238^3)-1.8039*(AA238^2)+1.8292*AA238-0.0098))),IF((0.0304*(AA238^5)-0.2619*(AA238^4)+0.9161*(AA238^3)-1.6837*(AA238^2)+1.7072*AA238-0.0091)&gt;0.8,0.8,IF((0.0304*(AA238^5)-0.2619*(AA238^4)+0.9161*(AA238^3)-1.6837*(AA238^2)+1.7072*AA238-0.0091)&lt;0,0,(0.0304*(AA238^5)-0.2619*(AA238^4)+0.9161*(AA238^3)-1.6837*(AA238^2)+1.7072*AA238-0.0091))))</f>
        <v>0.67318256221134631</v>
      </c>
      <c r="AY238" s="823">
        <f>$V238*AX238</f>
        <v>765.05562876872739</v>
      </c>
      <c r="AZ238" s="842">
        <f>IF(AS238=AP238,AW238,AY238)</f>
        <v>909.1805661223143</v>
      </c>
      <c r="BA238" s="848">
        <f>AZ238</f>
        <v>909.1805661223143</v>
      </c>
      <c r="BB238" s="848">
        <f>BA238*AN238</f>
        <v>13.238599908241941</v>
      </c>
      <c r="BC238" s="1097"/>
      <c r="BD238" s="1098"/>
      <c r="BE238" s="1098"/>
      <c r="BF238" s="828"/>
    </row>
    <row r="239" spans="1:59" ht="18.600000000000001" customHeight="1" x14ac:dyDescent="0.25">
      <c r="A239" s="11"/>
      <c r="B239" s="11"/>
      <c r="C239" s="11"/>
      <c r="D239" s="13"/>
      <c r="E239" s="1048"/>
      <c r="F239" s="1048"/>
      <c r="G239" s="1048"/>
      <c r="H239" s="1021"/>
      <c r="I239" s="1021"/>
      <c r="M239" s="11"/>
      <c r="N239" s="11"/>
      <c r="AB239" s="5"/>
      <c r="AC239" s="72"/>
      <c r="AW239"/>
    </row>
    <row r="240" spans="1:59" s="880" customFormat="1" ht="15" x14ac:dyDescent="0.25">
      <c r="A240" s="988"/>
      <c r="E240" s="979"/>
      <c r="F240" s="980"/>
      <c r="G240" s="980"/>
      <c r="H240" s="981"/>
      <c r="I240" s="982"/>
      <c r="J240" s="983"/>
      <c r="K240" s="982"/>
      <c r="L240" s="982"/>
      <c r="M240" s="984"/>
      <c r="P240" s="985"/>
      <c r="S240" s="985"/>
      <c r="V240" s="985"/>
      <c r="Y240" s="985"/>
      <c r="Z240" s="986"/>
      <c r="AA240" s="986"/>
      <c r="AB240" s="987"/>
      <c r="AC240" s="986"/>
      <c r="AD240" s="986"/>
      <c r="AE240" s="987"/>
      <c r="AF240" s="986"/>
      <c r="AG240" s="986"/>
      <c r="AH240" s="986"/>
    </row>
    <row r="241" spans="1:58" ht="18.600000000000001" customHeight="1" x14ac:dyDescent="0.25">
      <c r="A241" s="11"/>
      <c r="B241" s="11"/>
      <c r="C241" s="11"/>
      <c r="D241" s="13"/>
      <c r="E241" s="1048"/>
      <c r="F241" s="1048"/>
      <c r="G241" s="1048"/>
      <c r="H241" s="1021"/>
      <c r="I241" s="1021"/>
      <c r="M241" s="11"/>
      <c r="N241" s="11"/>
      <c r="AB241" s="5"/>
      <c r="AC241" s="72"/>
      <c r="AW241"/>
    </row>
    <row r="242" spans="1:58" s="826" customFormat="1" ht="18.600000000000001" customHeight="1" x14ac:dyDescent="0.25">
      <c r="A242" s="814" t="s">
        <v>524</v>
      </c>
      <c r="B242" s="814"/>
      <c r="C242" s="814"/>
      <c r="D242" s="1095" t="s">
        <v>271</v>
      </c>
      <c r="E242" s="1095"/>
      <c r="F242" s="1002"/>
      <c r="G242" s="1002"/>
      <c r="H242" s="815"/>
      <c r="I242" s="815"/>
      <c r="J242" s="1002" t="s">
        <v>348</v>
      </c>
      <c r="K242" s="814">
        <v>5.38</v>
      </c>
      <c r="L242" s="814"/>
      <c r="M242" s="814">
        <v>2.0499999999999998</v>
      </c>
      <c r="N242" s="816">
        <v>3.06</v>
      </c>
      <c r="O242" s="817">
        <f>+M242/K242</f>
        <v>0.3810408921933085</v>
      </c>
      <c r="P242" s="817">
        <f>+N242/K242</f>
        <v>0.56877323420074355</v>
      </c>
      <c r="Q242" s="819">
        <f>43*0.9*(0.05+0.9*0.16)*0.26*$K242*2.72/12</f>
        <v>2.3804330784000003</v>
      </c>
      <c r="R242" s="818">
        <f>43*0.9*(0.05+0.9*O242)*0.26*$K242*2.72/12</f>
        <v>4.8214420799999997</v>
      </c>
      <c r="S242" s="818">
        <f>IF(J242="R",R242,Q242)</f>
        <v>4.8214420799999997</v>
      </c>
      <c r="T242" s="818">
        <f>43*0.9*(0.05+0.9*P242)*0.26*$K242*2.72/12</f>
        <v>6.894616560000002</v>
      </c>
      <c r="U242" s="818">
        <f>T242*5.2</f>
        <v>35.852006112000012</v>
      </c>
      <c r="V242" s="818">
        <f>T242*420.9</f>
        <v>2901.9441101040006</v>
      </c>
      <c r="W242" s="818">
        <f>IF(P242 &lt; 16%, 0, IF(K242 &lt; 1, 0, T242-S242))</f>
        <v>2.0731744800000023</v>
      </c>
      <c r="X242" s="818"/>
      <c r="Y242" s="820"/>
      <c r="Z242" s="820"/>
      <c r="AA242" s="818"/>
      <c r="AB242" s="821" t="s">
        <v>297</v>
      </c>
      <c r="AC242" s="822" t="str">
        <f t="shared" ref="AC242" si="71">IF(G242="filterra",0.5, IF(G242="stormfilter",0.45,IF(B242=0,"","NA")))</f>
        <v/>
      </c>
      <c r="AD242" s="819" t="str">
        <f t="shared" ref="AD242:AD244" si="72">IF(AC242="NA",0,IF(AC242="","",T242*AC242))</f>
        <v/>
      </c>
      <c r="AE242" s="823"/>
      <c r="AF242" s="824"/>
      <c r="AG242" s="819"/>
      <c r="AH242" s="823"/>
      <c r="AI242" s="819"/>
      <c r="AJ242" s="823"/>
      <c r="AK242" s="825" t="str">
        <f t="shared" ref="AK242:AK244" si="73">IF(AC242="","",MAX(AD242,AF242,AH242,AJ242))</f>
        <v/>
      </c>
      <c r="AO242" s="827"/>
      <c r="AP242" s="819"/>
      <c r="AQ242" s="819"/>
      <c r="AR242" s="819"/>
      <c r="AS242" s="828"/>
      <c r="AU242" s="970"/>
      <c r="AV242" s="827"/>
      <c r="AW242" s="819"/>
      <c r="AX242" s="819"/>
      <c r="AY242" s="971"/>
      <c r="AZ242" s="830"/>
      <c r="BA242" s="818"/>
      <c r="BB242" s="972"/>
      <c r="BE242" s="972"/>
      <c r="BF242" s="828" t="s">
        <v>510</v>
      </c>
    </row>
    <row r="243" spans="1:58" s="826" customFormat="1" ht="18.600000000000001" customHeight="1" x14ac:dyDescent="0.25">
      <c r="A243" s="857" t="s">
        <v>463</v>
      </c>
      <c r="B243" s="814">
        <v>38.089199999999998</v>
      </c>
      <c r="C243" s="814">
        <v>-78.476299999999995</v>
      </c>
      <c r="D243" s="832">
        <v>29.02</v>
      </c>
      <c r="E243" s="833" t="s">
        <v>289</v>
      </c>
      <c r="G243" s="833" t="s">
        <v>525</v>
      </c>
      <c r="H243" s="815" t="s">
        <v>526</v>
      </c>
      <c r="I243" s="815" t="s">
        <v>439</v>
      </c>
      <c r="J243" s="833"/>
      <c r="K243" s="814">
        <v>3.9</v>
      </c>
      <c r="L243" s="814"/>
      <c r="M243" s="816">
        <f>2.05*(K243/SUM($K$243:$K$244))</f>
        <v>1.2978896103896103</v>
      </c>
      <c r="N243" s="814">
        <v>1.52</v>
      </c>
      <c r="O243" s="817">
        <f>+M243/K243</f>
        <v>0.33279220779220775</v>
      </c>
      <c r="P243" s="817">
        <f>+N243/K243</f>
        <v>0.38974358974358975</v>
      </c>
      <c r="Q243" s="818"/>
      <c r="R243" s="818"/>
      <c r="S243" s="818"/>
      <c r="T243" s="818">
        <f>IF(J242="TT",IF(F242="u/g detention",(43*0.9*(0.05+0.9*P243)*0.26*$K243*2.72/12)-AK239,(43*0.9*(0.05+0.9*P243)*0.26*$K243*2.72/12)-AK242),43*0.9*(0.05+0.9*P243)*0.26*$K243*2.72/12)</f>
        <v>3.5647653600000004</v>
      </c>
      <c r="U243" s="818">
        <f>T243*5.2</f>
        <v>18.536779872000004</v>
      </c>
      <c r="V243" s="818">
        <f>T243*420.9</f>
        <v>1500.409740024</v>
      </c>
      <c r="W243" s="818"/>
      <c r="X243" s="824" t="s">
        <v>278</v>
      </c>
      <c r="Y243" s="820">
        <v>2500</v>
      </c>
      <c r="Z243" s="820">
        <f>N243</f>
        <v>1.52</v>
      </c>
      <c r="AA243" s="834">
        <f>IF(Y243="NA", 0, (Y243/43560)*12/Z243)</f>
        <v>0.45309554878932867</v>
      </c>
      <c r="AB243" s="835"/>
      <c r="AC243" s="836" t="str">
        <f>IF(G243="filterra",0.5, IF(G243="stormfilter",0.45,IF(B243=0,"","NA")))</f>
        <v>NA</v>
      </c>
      <c r="AD243" s="837">
        <f t="shared" si="72"/>
        <v>0</v>
      </c>
      <c r="AE243" s="847">
        <v>0.5</v>
      </c>
      <c r="AF243" s="848">
        <f>T243*AE243</f>
        <v>1.7823826800000002</v>
      </c>
      <c r="AG243" s="836">
        <f>IF(ISNA(VLOOKUP(I243,'[1]Efficiency Lookup'!$D$2:$E$35,2,FALSE)),0,VLOOKUP(I243,'[1]Efficiency Lookup'!$D$2:$E$35,2,FALSE))</f>
        <v>0.1</v>
      </c>
      <c r="AH243" s="823">
        <f>T243*AG243</f>
        <v>0.35647653600000007</v>
      </c>
      <c r="AI243" s="839">
        <f>IF(X243="RR",IF((0.0304*(AA243^5)-0.2619*(AA243^4)+0.9161*(AA243^3)-1.6837*(AA243^2)+1.7072*AA243-0.0091)&gt;0.85,0.85,IF((0.0304*(AA243^5)-0.2619*(AA243^4)+0.9161*(AA243^3)-1.6837*(AA243^2)+1.7072*AA243-0.0091)&lt;0,0,(0.0304*(AA243^5)-0.2619*(AA243^4)+0.9161*(AA243^3)-1.6837*(AA243^2)+1.7072*AA243-0.0091))),IF((0.0239*(AA243^5)-0.2058*(AA243^4)+0.7198*(AA243^3)-1.3229*(AA243^2)+1.3414*AA243-0.0072)&gt;0.65,0.65,IF((0.0239*(AA243^5)-0.2058*(AA243^4)+0.7198*(AA243^3)-1.3229*(AA243^2)+1.3414*AA243-0.0072)&lt;0,0,(0.0239*(AA243^5)-0.2058*(AA243^4)+0.7198*(AA243^3)-1.3229*(AA243^2)+1.3414*AA243-0.0072))))</f>
        <v>0.38773427421266726</v>
      </c>
      <c r="AJ243" s="823">
        <f>T243*AI243</f>
        <v>1.3821817095980578</v>
      </c>
      <c r="AK243" s="840">
        <f t="shared" si="73"/>
        <v>1.7823826800000002</v>
      </c>
      <c r="AL243" s="1091">
        <f>SUM(AK243:AK244)</f>
        <v>2.85546144</v>
      </c>
      <c r="AM243" s="1091">
        <f>AL243-W242</f>
        <v>0.78228695999999776</v>
      </c>
      <c r="AN243" s="1099">
        <f>AM243/AL243</f>
        <v>0.27396166134185224</v>
      </c>
      <c r="AO243" s="844">
        <f>IF(ISNA(VLOOKUP(I243,'[1]Efficiency Lookup'!$D$2:$G$35,3,FALSE)),0,VLOOKUP(I243,'[1]Efficiency Lookup'!$D$2:$G$35,3,FALSE))</f>
        <v>0.05</v>
      </c>
      <c r="AP243" s="823">
        <f>U243*AO243</f>
        <v>0.92683899360000022</v>
      </c>
      <c r="AQ243" s="838">
        <f>IF(X243="RR",IF((0.0308*(AA243^5)-0.2562*(AA243^4)+0.8634*(AA243^3)-1.5285*(AA243^2)+1.501*AA243-0.013)&gt;0.7,0.7,IF((0.0308*(AA243^5)-0.2562*(AA243^4)+0.8634*(AA243^3)-1.5285*(AA243^2)+1.501*AA243-0.013)&lt;0,0,(0.0308*(AA243^5)-0.2562*(AA243^4)+0.8634*(AA243^3)-1.5285*(AA243^2)+1.501*AA243-0.013))),IF((0.0152*(AA243^5)-0.131*(AA243^4)+0.4581*(AA243^3)-0.8418*(AA243^2)+0.8536*AA243-0.0046)&gt;0.65,0.65,IF((0.0152*(AA243^5)-0.131*(AA243^4)+0.4581*(AA243^3)-0.8418*(AA243^2)+0.8536*AA243-0.0046)&lt;0,0,(0.0152*(AA243^5)-0.131*(AA243^4)+0.4581*(AA243^3)-0.8418*(AA243^2)+0.8536*AA243-0.0046))))</f>
        <v>0.24672542629860245</v>
      </c>
      <c r="AR243" s="824">
        <f>U243*AQ243</f>
        <v>4.573494916122554</v>
      </c>
      <c r="AS243" s="842">
        <f>IF(AK243=AF243,MAX(AP243,AR243),IF(AK243=AH243,AP243,AR243))</f>
        <v>4.573494916122554</v>
      </c>
      <c r="AT243" s="1091">
        <f>SUM(AS243:AS244)</f>
        <v>8.1142447580160422</v>
      </c>
      <c r="AU243" s="1090">
        <f>AT243*AN243</f>
        <v>2.2229919744404909</v>
      </c>
      <c r="AV243" s="844">
        <f>IF(ISNA(VLOOKUP(I243,'[1]Efficiency Lookup'!$D$2:$G$35,4,FALSE)),0,VLOOKUP(I243,'[1]Efficiency Lookup'!$D$2:$G$35,4,FALSE))</f>
        <v>0.1</v>
      </c>
      <c r="AW243" s="823">
        <f>$V243*AV243</f>
        <v>150.04097400240002</v>
      </c>
      <c r="AX243" s="838">
        <f>IF(X243="RR",IF((0.0326*(AA243^5)-0.2806*(AA243^4)+0.9816*(AA243^3)-1.8039*(AA243^2)+1.8292*AA243-0.0098)&gt;0.85,0.85,IF((0.0326*(AA243^5)-0.2806*(AA243^4)+0.9816*(AA243^3)-1.8039*(AA243^2)+1.8292*AA243-0.0098)&lt;0,0,(0.0326*(AA243^5)-0.2806*(AA243^4)+0.9816*(AA243^3)-1.8039*(AA243^2)+1.8292*AA243-0.0098))),IF((0.0304*(AA243^5)-0.2619*(AA243^4)+0.9161*(AA243^3)-1.6837*(AA243^2)+1.7072*AA243-0.0091)&gt;0.8,0.8,IF((0.0304*(AA243^5)-0.2619*(AA243^4)+0.9161*(AA243^3)-1.6837*(AA243^2)+1.7072*AA243-0.0091)&lt;0,0,(0.0304*(AA243^5)-0.2619*(AA243^4)+0.9161*(AA243^3)-1.6837*(AA243^2)+1.7072*AA243-0.0091))))</f>
        <v>0.49352523581575547</v>
      </c>
      <c r="AY243" s="973">
        <f>$V243*AX243</f>
        <v>740.49007076560099</v>
      </c>
      <c r="AZ243" s="842">
        <f>IF(AS243=AP243,AW243,AY243)</f>
        <v>740.49007076560099</v>
      </c>
      <c r="BA243" s="1091">
        <f>SUM(AZ243:AZ244)</f>
        <v>1313.7131807792312</v>
      </c>
      <c r="BB243" s="1090">
        <f>BA243*AN243</f>
        <v>359.90704553296723</v>
      </c>
      <c r="BC243" s="1092">
        <f>AM243</f>
        <v>0.78228695999999776</v>
      </c>
      <c r="BD243" s="1093">
        <f>AU243</f>
        <v>2.2229919744404909</v>
      </c>
      <c r="BE243" s="1094">
        <f>BB243</f>
        <v>359.90704553296723</v>
      </c>
      <c r="BF243" s="856"/>
    </row>
    <row r="244" spans="1:58" s="826" customFormat="1" ht="18.600000000000001" customHeight="1" x14ac:dyDescent="0.25">
      <c r="A244" s="857"/>
      <c r="B244" s="814">
        <v>38.090400000000002</v>
      </c>
      <c r="C244" s="814">
        <v>-78.476600000000005</v>
      </c>
      <c r="D244" s="832">
        <v>29.03</v>
      </c>
      <c r="E244" s="833" t="s">
        <v>289</v>
      </c>
      <c r="G244" s="833" t="s">
        <v>525</v>
      </c>
      <c r="H244" s="815" t="s">
        <v>526</v>
      </c>
      <c r="I244" s="815" t="s">
        <v>439</v>
      </c>
      <c r="J244" s="833"/>
      <c r="K244" s="814">
        <v>2.2599999999999998</v>
      </c>
      <c r="L244" s="814"/>
      <c r="M244" s="816">
        <f>2.05*(K244/SUM($K$243:$K$244))</f>
        <v>0.75211038961038956</v>
      </c>
      <c r="N244" s="814">
        <v>0.92</v>
      </c>
      <c r="O244" s="817">
        <f>+M244/K244</f>
        <v>0.33279220779220781</v>
      </c>
      <c r="P244" s="817">
        <f>+N244/K244</f>
        <v>0.40707964601769919</v>
      </c>
      <c r="Q244" s="818"/>
      <c r="R244" s="818"/>
      <c r="S244" s="818"/>
      <c r="T244" s="818">
        <f>IF(J243="TT",IF(G243="u/g detention",(43*0.9*(0.05+0.9*P244)*0.26*$K244*2.72/12)-AK242,(43*0.9*(0.05+0.9*P244)*0.26*$K244*2.72/12)-AK243),43*0.9*(0.05+0.9*P244)*0.26*$K244*2.72/12)</f>
        <v>2.14615752</v>
      </c>
      <c r="U244" s="818">
        <f>T244*5.2</f>
        <v>11.160019104</v>
      </c>
      <c r="V244" s="818">
        <f>T244*420.9</f>
        <v>903.31770016799999</v>
      </c>
      <c r="W244" s="818"/>
      <c r="X244" s="824" t="s">
        <v>278</v>
      </c>
      <c r="Y244" s="820">
        <v>2500</v>
      </c>
      <c r="Z244" s="820">
        <f>N244</f>
        <v>0.92</v>
      </c>
      <c r="AA244" s="834">
        <f>IF(Y244="NA", 0, (Y244/43560)*12/Z244)</f>
        <v>0.74859264582584728</v>
      </c>
      <c r="AB244" s="835"/>
      <c r="AC244" s="836" t="str">
        <f>IF(G244="filterra",0.5, IF(G244="stormfilter",0.45,IF(B244=0,"","NA")))</f>
        <v>NA</v>
      </c>
      <c r="AD244" s="837">
        <f t="shared" si="72"/>
        <v>0</v>
      </c>
      <c r="AE244" s="847">
        <v>0.5</v>
      </c>
      <c r="AF244" s="848">
        <f>T244*AE244</f>
        <v>1.07307876</v>
      </c>
      <c r="AG244" s="836">
        <f>IF(ISNA(VLOOKUP(I244,'[1]Efficiency Lookup'!$D$2:$E$35,2,FALSE)),0,VLOOKUP(I244,'[1]Efficiency Lookup'!$D$2:$E$35,2,FALSE))</f>
        <v>0.1</v>
      </c>
      <c r="AH244" s="823">
        <f>T244*AG244</f>
        <v>0.21461575200000002</v>
      </c>
      <c r="AI244" s="839">
        <f>IF(X244="RR",IF((0.0304*(AA244^5)-0.2619*(AA244^4)+0.9161*(AA244^3)-1.6837*(AA244^2)+1.7072*AA244-0.0091)&gt;0.85,0.85,IF((0.0304*(AA244^5)-0.2619*(AA244^4)+0.9161*(AA244^3)-1.6837*(AA244^2)+1.7072*AA244-0.0091)&lt;0,0,(0.0304*(AA244^5)-0.2619*(AA244^4)+0.9161*(AA244^3)-1.6837*(AA244^2)+1.7072*AA244-0.0091))),IF((0.0239*(AA244^5)-0.2058*(AA244^4)+0.7198*(AA244^3)-1.3229*(AA244^2)+1.3414*AA244-0.0072)&gt;0.65,0.65,IF((0.0239*(AA244^5)-0.2058*(AA244^4)+0.7198*(AA244^3)-1.3229*(AA244^2)+1.3414*AA244-0.0072)&lt;0,0,(0.0239*(AA244^5)-0.2058*(AA244^4)+0.7198*(AA244^3)-1.3229*(AA244^2)+1.3414*AA244-0.0072))))</f>
        <v>0.49856990338544172</v>
      </c>
      <c r="AJ244" s="823">
        <f>T244*AI244</f>
        <v>1.0700095473963391</v>
      </c>
      <c r="AK244" s="840">
        <f t="shared" si="73"/>
        <v>1.07307876</v>
      </c>
      <c r="AL244" s="1091"/>
      <c r="AM244" s="1091"/>
      <c r="AN244" s="1099"/>
      <c r="AO244" s="844">
        <f>IF(ISNA(VLOOKUP(I244,'[1]Efficiency Lookup'!$D$2:$G$35,3,FALSE)),0,VLOOKUP(I244,'[1]Efficiency Lookup'!$D$2:$G$35,3,FALSE))</f>
        <v>0.05</v>
      </c>
      <c r="AP244" s="823">
        <f>U244*AO244</f>
        <v>0.55800095520000004</v>
      </c>
      <c r="AQ244" s="838">
        <f>IF(X244="RR",IF((0.0308*(AA244^5)-0.2562*(AA244^4)+0.8634*(AA244^3)-1.5285*(AA244^2)+1.501*AA244-0.013)&gt;0.7,0.7,IF((0.0308*(AA244^5)-0.2562*(AA244^4)+0.8634*(AA244^3)-1.5285*(AA244^2)+1.501*AA244-0.013)&lt;0,0,(0.0308*(AA244^5)-0.2562*(AA244^4)+0.8634*(AA244^3)-1.5285*(AA244^2)+1.501*AA244-0.013))),IF((0.0152*(AA244^5)-0.131*(AA244^4)+0.4581*(AA244^3)-0.8418*(AA244^2)+0.8536*AA244-0.0046)&gt;0.65,0.65,IF((0.0152*(AA244^5)-0.131*(AA244^4)+0.4581*(AA244^3)-0.8418*(AA244^2)+0.8536*AA244-0.0046)&lt;0,0,(0.0152*(AA244^5)-0.131*(AA244^4)+0.4581*(AA244^3)-0.8418*(AA244^2)+0.8536*AA244-0.0046))))</f>
        <v>0.31727094809581508</v>
      </c>
      <c r="AR244" s="824">
        <f>U244*AQ244</f>
        <v>3.5407498418934886</v>
      </c>
      <c r="AS244" s="842">
        <f>IF(AK244=AF244,MAX(AP244,AR244),IF(AK244=AH244,AP244,AR244))</f>
        <v>3.5407498418934886</v>
      </c>
      <c r="AT244" s="1091"/>
      <c r="AU244" s="1090"/>
      <c r="AV244" s="844">
        <f>IF(ISNA(VLOOKUP(I244,'[1]Efficiency Lookup'!$D$2:$G$35,4,FALSE)),0,VLOOKUP(I244,'[1]Efficiency Lookup'!$D$2:$G$35,4,FALSE))</f>
        <v>0.1</v>
      </c>
      <c r="AW244" s="823">
        <f>$V244*AV244</f>
        <v>90.331770016800007</v>
      </c>
      <c r="AX244" s="838">
        <f>IF(X244="RR",IF((0.0326*(AA244^5)-0.2806*(AA244^4)+0.9816*(AA244^3)-1.8039*(AA244^2)+1.8292*AA244-0.0098)&gt;0.85,0.85,IF((0.0326*(AA244^5)-0.2806*(AA244^4)+0.9816*(AA244^3)-1.8039*(AA244^2)+1.8292*AA244-0.0098)&lt;0,0,(0.0326*(AA244^5)-0.2806*(AA244^4)+0.9816*(AA244^3)-1.8039*(AA244^2)+1.8292*AA244-0.0098))),IF((0.0304*(AA244^5)-0.2619*(AA244^4)+0.9161*(AA244^3)-1.6837*(AA244^2)+1.7072*AA244-0.0091)&gt;0.8,0.8,IF((0.0304*(AA244^5)-0.2619*(AA244^4)+0.9161*(AA244^3)-1.6837*(AA244^2)+1.7072*AA244-0.0091)&lt;0,0,(0.0304*(AA244^5)-0.2619*(AA244^4)+0.9161*(AA244^3)-1.6837*(AA244^2)+1.7072*AA244-0.0091))))</f>
        <v>0.63457531044395732</v>
      </c>
      <c r="AY244" s="973">
        <f>$V244*AX244</f>
        <v>573.22311001363016</v>
      </c>
      <c r="AZ244" s="842">
        <f>IF(AK244=AJ244,AY244,IF(AK244=AH244,AW244,IF(AP244=AR244,MAX(AW244,AY244),IF(AS244=AP244,AW244,AY244))))</f>
        <v>573.22311001363016</v>
      </c>
      <c r="BA244" s="1091"/>
      <c r="BB244" s="1090"/>
      <c r="BC244" s="1092"/>
      <c r="BD244" s="1093"/>
      <c r="BE244" s="1094"/>
      <c r="BF244" s="856"/>
    </row>
    <row r="245" spans="1:58" ht="18.600000000000001" customHeight="1" x14ac:dyDescent="0.25">
      <c r="A245" s="11"/>
      <c r="B245" s="11"/>
      <c r="C245" s="11"/>
      <c r="D245" s="13"/>
      <c r="E245" s="1048"/>
      <c r="F245" s="1048"/>
      <c r="G245" s="1048"/>
      <c r="H245" s="1021"/>
      <c r="I245" s="1021"/>
      <c r="M245" s="11"/>
      <c r="N245" s="11"/>
      <c r="AB245" s="5"/>
      <c r="AW245"/>
    </row>
    <row r="246" spans="1:58" s="826" customFormat="1" ht="18.600000000000001" customHeight="1" x14ac:dyDescent="0.25">
      <c r="A246" s="814" t="s">
        <v>527</v>
      </c>
      <c r="B246" s="814"/>
      <c r="C246" s="814"/>
      <c r="D246" s="846"/>
      <c r="E246" s="833"/>
      <c r="F246" s="833"/>
      <c r="G246" s="833"/>
      <c r="H246" s="815"/>
      <c r="I246" s="815"/>
      <c r="J246" s="1002" t="s">
        <v>348</v>
      </c>
      <c r="K246" s="816">
        <v>60.771999999999998</v>
      </c>
      <c r="L246" s="816"/>
      <c r="M246" s="816">
        <v>2.2799999999999998</v>
      </c>
      <c r="N246" s="816">
        <f>N247+(111949+3049.2+50094+17424-101059-43560-12196.8)/43560</f>
        <v>18.806000000000001</v>
      </c>
      <c r="O246" s="817">
        <f>+M246/K246</f>
        <v>3.7517277693674717E-2</v>
      </c>
      <c r="P246" s="817">
        <f>+N246/K246</f>
        <v>0.30945172118738895</v>
      </c>
      <c r="Q246" s="819">
        <f>43*0.9*(0.05+0.9*0.16)*0.26*$K246*2.72/12</f>
        <v>26.889159672960002</v>
      </c>
      <c r="R246" s="818">
        <f>43*0.9*(0.05+0.9*O246)*0.26*$K246*2.72/12</f>
        <v>11.610233232000001</v>
      </c>
      <c r="S246" s="818">
        <f>Q246</f>
        <v>26.889159672960002</v>
      </c>
      <c r="T246" s="818">
        <f>43*0.9*(0.05+0.9*P246)*0.26*$K246*2.72/12</f>
        <v>45.532294080000014</v>
      </c>
      <c r="U246" s="818">
        <f>T246*5.2</f>
        <v>236.76792921600008</v>
      </c>
      <c r="V246" s="818">
        <f>T246*420.9</f>
        <v>19164.542578272005</v>
      </c>
      <c r="W246" s="818">
        <f>IF(P246 &lt; 16%, 0, IF(K246 &lt; 1, 0, T246-S246))</f>
        <v>18.643134407040012</v>
      </c>
      <c r="X246" s="818"/>
      <c r="Y246" s="820"/>
      <c r="Z246" s="820"/>
      <c r="AA246" s="818"/>
      <c r="AB246" s="821" t="s">
        <v>297</v>
      </c>
      <c r="AC246" s="822" t="str">
        <f t="shared" ref="AC246" si="74">IF(G246="filterra",0.5, IF(G246="stormfilter",0.45,IF(B246=0,"","NA")))</f>
        <v/>
      </c>
      <c r="AD246" s="819" t="str">
        <f t="shared" ref="AD246:AD251" si="75">IF(AC246="NA",0,IF(AC246="","",T246*AC246))</f>
        <v/>
      </c>
      <c r="AE246" s="823"/>
      <c r="AF246" s="824"/>
      <c r="AG246" s="819"/>
      <c r="AH246" s="823"/>
      <c r="AI246" s="819"/>
      <c r="AJ246" s="823"/>
      <c r="AK246" s="825" t="str">
        <f t="shared" ref="AK246:AK247" si="76">IF(AC246="","",MAX(AD246,AF246,AH246,AJ246))</f>
        <v/>
      </c>
      <c r="AO246" s="827"/>
      <c r="AP246" s="819"/>
      <c r="AQ246" s="819"/>
      <c r="AR246" s="819"/>
      <c r="AS246" s="828"/>
      <c r="AU246" s="970"/>
      <c r="AV246" s="827"/>
      <c r="AW246" s="819"/>
      <c r="AX246" s="819"/>
      <c r="AY246" s="971"/>
      <c r="AZ246" s="830"/>
      <c r="BA246" s="818"/>
      <c r="BC246" s="868"/>
      <c r="BF246" s="828" t="s">
        <v>510</v>
      </c>
    </row>
    <row r="247" spans="1:58" s="826" customFormat="1" ht="18.600000000000001" customHeight="1" x14ac:dyDescent="0.25">
      <c r="A247" s="814"/>
      <c r="B247" s="846">
        <v>-78.445716000000004</v>
      </c>
      <c r="C247" s="846" t="s">
        <v>528</v>
      </c>
      <c r="D247" s="846">
        <v>1</v>
      </c>
      <c r="E247" s="833" t="s">
        <v>274</v>
      </c>
      <c r="F247" s="833" t="s">
        <v>529</v>
      </c>
      <c r="G247" s="833"/>
      <c r="H247" s="815" t="s">
        <v>530</v>
      </c>
      <c r="I247" s="815" t="s">
        <v>277</v>
      </c>
      <c r="K247" s="816">
        <v>45.54</v>
      </c>
      <c r="L247" s="816"/>
      <c r="M247" s="816">
        <f>0.05*K247</f>
        <v>2.2770000000000001</v>
      </c>
      <c r="N247" s="816">
        <f>0.4*K247</f>
        <v>18.216000000000001</v>
      </c>
      <c r="O247" s="817">
        <f>+M247/K247</f>
        <v>0.05</v>
      </c>
      <c r="P247" s="817">
        <f>+N247/K247</f>
        <v>0.4</v>
      </c>
      <c r="Q247" s="818"/>
      <c r="R247" s="818"/>
      <c r="S247" s="818"/>
      <c r="T247" s="818">
        <f>IF(J246="TT",IF(F246="u/g detention",(43*0.9*(0.05+0.9*P247)*0.26*$K247*2.72/12)-AK245,(43*0.9*(0.05+0.9*P247)*0.26*$K247*2.72/12)-AK246),43*0.9*(0.05+0.9*P247)*0.26*$K247*2.72/12)</f>
        <v>42.584235408000012</v>
      </c>
      <c r="U247" s="818">
        <f>T247*5.2</f>
        <v>221.43802412160008</v>
      </c>
      <c r="V247" s="818">
        <f>T247*420.9</f>
        <v>17923.704683227203</v>
      </c>
      <c r="W247" s="818"/>
      <c r="X247" s="824" t="s">
        <v>278</v>
      </c>
      <c r="Y247" s="820"/>
      <c r="Z247" s="820">
        <f>N247</f>
        <v>18.216000000000001</v>
      </c>
      <c r="AA247" s="834">
        <f>IF(Y247="NA", 0, (Y247/43560)*12/Z247)</f>
        <v>0</v>
      </c>
      <c r="AB247" s="835"/>
      <c r="AC247" s="836" t="str">
        <f>IF(G247="filterra",0.5, IF(G247="stormfilter",0.45,IF(B247=0,"","NA")))</f>
        <v>NA</v>
      </c>
      <c r="AD247" s="837">
        <f t="shared" si="75"/>
        <v>0</v>
      </c>
      <c r="AE247" s="836">
        <f>IF(ISNA(VLOOKUP(H247,'[1]Efficiency Lookup'!$B$2:$C$38,2,FALSE)),0,(VLOOKUP(H247,'[1]Efficiency Lookup'!$B$2:$C$38,2,FALSE)))</f>
        <v>0.4</v>
      </c>
      <c r="AF247" s="823">
        <f>T247*AE247</f>
        <v>17.033694163200007</v>
      </c>
      <c r="AG247" s="847">
        <f>IF(ISNA(VLOOKUP(I247,'[1]Efficiency Lookup'!$D$2:$E$35,2,FALSE)),0,VLOOKUP(I247,'[1]Efficiency Lookup'!$D$2:$E$35,2,FALSE))</f>
        <v>0.45</v>
      </c>
      <c r="AH247" s="848">
        <f>T247*AG247</f>
        <v>19.162905933600005</v>
      </c>
      <c r="AI247" s="839">
        <f>IF(X247="RR",IF((0.0304*(AA247^5)-0.2619*(AA247^4)+0.9161*(AA247^3)-1.6837*(AA247^2)+1.7072*AA247-0.0091)&gt;0.85,0.85,IF((0.0304*(AA247^5)-0.2619*(AA247^4)+0.9161*(AA247^3)-1.6837*(AA247^2)+1.7072*AA247-0.0091)&lt;0,0,(0.0304*(AA247^5)-0.2619*(AA247^4)+0.9161*(AA247^3)-1.6837*(AA247^2)+1.7072*AA247-0.0091))),IF((0.0239*(AA247^5)-0.2058*(AA247^4)+0.7198*(AA247^3)-1.3229*(AA247^2)+1.3414*AA247-0.0072)&gt;0.65,0.65,IF((0.0239*(AA247^5)-0.2058*(AA247^4)+0.7198*(AA247^3)-1.3229*(AA247^2)+1.3414*AA247-0.0072)&lt;0,0,(0.0239*(AA247^5)-0.2058*(AA247^4)+0.7198*(AA247^3)-1.3229*(AA247^2)+1.3414*AA247-0.0072))))</f>
        <v>0</v>
      </c>
      <c r="AJ247" s="823">
        <f>T247*AI247</f>
        <v>0</v>
      </c>
      <c r="AK247" s="840">
        <f t="shared" si="76"/>
        <v>19.162905933600005</v>
      </c>
      <c r="AL247" s="1091">
        <f>SUM(AK247:AK251)</f>
        <v>20.800946274297527</v>
      </c>
      <c r="AM247" s="1091">
        <f>AL247-W246</f>
        <v>2.1578118672575144</v>
      </c>
      <c r="AN247" s="1099">
        <f>AM247/AL247</f>
        <v>0.1037362357848014</v>
      </c>
      <c r="AO247" s="849">
        <f>IF(ISNA(VLOOKUP(I247,'[1]Efficiency Lookup'!$D$2:$G$35,3,FALSE)),0,VLOOKUP(I247,'[1]Efficiency Lookup'!$D$2:$G$35,3,FALSE))</f>
        <v>0.2</v>
      </c>
      <c r="AP247" s="848">
        <f>U247*AO247</f>
        <v>44.28760482432002</v>
      </c>
      <c r="AQ247" s="836">
        <f>IF(X247="RR",IF((0.0308*(AA247^5)-0.2562*(AA247^4)+0.8634*(AA247^3)-1.5285*(AA247^2)+1.501*AA247-0.013)&gt;0.7,0.7,IF((0.0308*(AA247^5)-0.2562*(AA247^4)+0.8634*(AA247^3)-1.5285*(AA247^2)+1.501*AA247-0.013)&lt;0,0,(0.0308*(AA247^5)-0.2562*(AA247^4)+0.8634*(AA247^3)-1.5285*(AA247^2)+1.501*AA247-0.013))),IF((0.0152*(AA247^5)-0.131*(AA247^4)+0.4581*(AA247^3)-0.8418*(AA247^2)+0.8536*AA247-0.0046)&gt;0.65,0.65,IF((0.0152*(AA247^5)-0.131*(AA247^4)+0.4581*(AA247^3)-0.8418*(AA247^2)+0.8536*AA247-0.0046)&lt;0,0,(0.0152*(AA247^5)-0.131*(AA247^4)+0.4581*(AA247^3)-0.8418*(AA247^2)+0.8536*AA247-0.0046))))</f>
        <v>0</v>
      </c>
      <c r="AR247" s="823">
        <f>U247*AQ247</f>
        <v>0</v>
      </c>
      <c r="AS247" s="842">
        <f>IF(AK247=AF247,MAX(AP247,AR247),IF(AK247=AH247,AP247,AR247))</f>
        <v>44.28760482432002</v>
      </c>
      <c r="AT247" s="1091">
        <f>SUM(AS247:AS251)</f>
        <v>50.86636152753303</v>
      </c>
      <c r="AU247" s="1090">
        <f>AT247*AN247</f>
        <v>5.2766848729351175</v>
      </c>
      <c r="AV247" s="849">
        <f>IF(ISNA(VLOOKUP(I247,'[1]Efficiency Lookup'!$D$2:$G$35,4,FALSE)),0,VLOOKUP(I247,'[1]Efficiency Lookup'!$D$2:$G$35,4,FALSE))</f>
        <v>0.6</v>
      </c>
      <c r="AW247" s="848">
        <f>$V247*AV247</f>
        <v>10754.222809936322</v>
      </c>
      <c r="AX247" s="836">
        <f>IF(X247="RR",IF((0.0326*(AA247^5)-0.2806*(AA247^4)+0.9816*(AA247^3)-1.8039*(AA247^2)+1.8292*AA247-0.0098)&gt;0.85,0.85,IF((0.0326*(AA247^5)-0.2806*(AA247^4)+0.9816*(AA247^3)-1.8039*(AA247^2)+1.8292*AA247-0.0098)&lt;0,0,(0.0326*(AA247^5)-0.2806*(AA247^4)+0.9816*(AA247^3)-1.8039*(AA247^2)+1.8292*AA247-0.0098))),IF((0.0304*(AA247^5)-0.2619*(AA247^4)+0.9161*(AA247^3)-1.6837*(AA247^2)+1.7072*AA247-0.0091)&gt;0.8,0.8,IF((0.0304*(AA247^5)-0.2619*(AA247^4)+0.9161*(AA247^3)-1.6837*(AA247^2)+1.7072*AA247-0.0091)&lt;0,0,(0.0304*(AA247^5)-0.2619*(AA247^4)+0.9161*(AA247^3)-1.6837*(AA247^2)+1.7072*AA247-0.0091))))</f>
        <v>0</v>
      </c>
      <c r="AY247" s="974">
        <f>$V247*AX247</f>
        <v>0</v>
      </c>
      <c r="AZ247" s="842">
        <f>IF(AS247=AP247,AW247,AY247)</f>
        <v>10754.222809936322</v>
      </c>
      <c r="BA247" s="1091">
        <f>SUM(AZ247:AZ251)</f>
        <v>11388.945001857472</v>
      </c>
      <c r="BB247" s="1090">
        <f>BA247*AN247</f>
        <v>1181.4462840528222</v>
      </c>
      <c r="BC247" s="1092">
        <f>AM247</f>
        <v>2.1578118672575144</v>
      </c>
      <c r="BD247" s="1093">
        <f>AU247</f>
        <v>5.2766848729351175</v>
      </c>
      <c r="BE247" s="1094">
        <f>BB247</f>
        <v>1181.4462840528222</v>
      </c>
      <c r="BF247" s="828"/>
    </row>
    <row r="248" spans="1:58" s="826" customFormat="1" ht="18.600000000000001" customHeight="1" x14ac:dyDescent="0.25">
      <c r="B248" s="846">
        <v>-78.440920000000006</v>
      </c>
      <c r="C248" s="846">
        <v>38.042540000000002</v>
      </c>
      <c r="D248" s="846">
        <v>1</v>
      </c>
      <c r="E248" s="833" t="s">
        <v>281</v>
      </c>
      <c r="F248" s="833" t="s">
        <v>531</v>
      </c>
      <c r="G248" s="833"/>
      <c r="H248" s="815" t="s">
        <v>343</v>
      </c>
      <c r="I248" s="815" t="s">
        <v>284</v>
      </c>
      <c r="K248" s="816">
        <v>1.1000000000000001</v>
      </c>
      <c r="L248" s="816"/>
      <c r="M248" s="816">
        <v>0</v>
      </c>
      <c r="N248" s="816">
        <f>22500/43560</f>
        <v>0.51652892561983466</v>
      </c>
      <c r="O248" s="817">
        <f t="shared" ref="O248:O251" si="77">+M248/K248</f>
        <v>0</v>
      </c>
      <c r="P248" s="817">
        <f t="shared" ref="P248:P251" si="78">+N248/K248</f>
        <v>0.46957175056348599</v>
      </c>
      <c r="T248" s="818">
        <f t="shared" ref="T248:T251" si="79">IF(J247="TT",IF(F247="u/g detention",(43*0.9*(0.05+0.9*P248)*0.26*$K248*2.72/12)-AK246,(43*0.9*(0.05+0.9*P248)*0.26*$K248*2.72/12)-AK247),43*0.9*(0.05+0.9*P248)*0.26*$K248*2.72/12)</f>
        <v>1.1856916661157026</v>
      </c>
      <c r="U248" s="818">
        <f t="shared" ref="U248:U251" si="80">T248*5.2</f>
        <v>6.1655966638016544</v>
      </c>
      <c r="V248" s="818">
        <f t="shared" ref="V248:V251" si="81">T248*420.9</f>
        <v>499.05762226809924</v>
      </c>
      <c r="X248" s="824" t="s">
        <v>285</v>
      </c>
      <c r="Y248" s="826">
        <f>321*3*0.5</f>
        <v>481.5</v>
      </c>
      <c r="Z248" s="820">
        <f t="shared" ref="Z248:Z251" si="82">N248</f>
        <v>0.51652892561983466</v>
      </c>
      <c r="AA248" s="834">
        <f t="shared" ref="AA248:AA251" si="83">IF(Y248="NA", 0, (Y248/43560)*12/Z248)</f>
        <v>0.25680000000000003</v>
      </c>
      <c r="AB248" s="835"/>
      <c r="AC248" s="836" t="str">
        <f>IF(G248="filterra",0.5, IF(G248="stormfilter",0.45,IF(B248=0,"","NA")))</f>
        <v>NA</v>
      </c>
      <c r="AD248" s="837">
        <f t="shared" si="75"/>
        <v>0</v>
      </c>
      <c r="AE248" s="847">
        <f>IF(ISNA(VLOOKUP(H248,'[1]Efficiency Lookup'!$B$2:$C$38,2,FALSE)),0,(VLOOKUP(H248,'[1]Efficiency Lookup'!$B$2:$C$38,2,FALSE)))</f>
        <v>0.5</v>
      </c>
      <c r="AF248" s="848">
        <f>T248*AE248</f>
        <v>0.59284583305785132</v>
      </c>
      <c r="AG248" s="836">
        <f>IF(ISNA(VLOOKUP(I248,'[1]Efficiency Lookup'!$D$2:$E$35,2,FALSE)),0,VLOOKUP(I248,'[1]Efficiency Lookup'!$D$2:$E$35,2,FALSE))</f>
        <v>0.45</v>
      </c>
      <c r="AH248" s="823">
        <f>T248*AG248</f>
        <v>0.5335612497520662</v>
      </c>
      <c r="AI248" s="839">
        <f>IF(X248="RR",IF((0.0304*(AA248^5)-0.2619*(AA248^4)+0.9161*(AA248^3)-1.6837*(AA248^2)+1.7072*AA248-0.0091)&gt;0.85,0.85,IF((0.0304*(AA248^5)-0.2619*(AA248^4)+0.9161*(AA248^3)-1.6837*(AA248^2)+1.7072*AA248-0.0091)&lt;0,0,(0.0304*(AA248^5)-0.2619*(AA248^4)+0.9161*(AA248^3)-1.6837*(AA248^2)+1.7072*AA248-0.0091))),IF((0.0239*(AA248^5)-0.2058*(AA248^4)+0.7198*(AA248^3)-1.3229*(AA248^2)+1.3414*AA248-0.0072)&gt;0.65,0.65,IF((0.0239*(AA248^5)-0.2058*(AA248^4)+0.7198*(AA248^3)-1.3229*(AA248^2)+1.3414*AA248-0.0072)&lt;0,0,(0.0239*(AA248^5)-0.2058*(AA248^4)+0.7198*(AA248^3)-1.3229*(AA248^2)+1.3414*AA248-0.0072))))</f>
        <v>0.33268439617633544</v>
      </c>
      <c r="AJ248" s="823">
        <f>T248*AI248</f>
        <v>0.39446111599301564</v>
      </c>
      <c r="AK248" s="840">
        <f>IF(AC248="","",MAX(AD248,AF248,AH248,AJ248))</f>
        <v>0.59284583305785132</v>
      </c>
      <c r="AL248" s="1091"/>
      <c r="AM248" s="1091"/>
      <c r="AN248" s="1099"/>
      <c r="AO248" s="844">
        <f>IF(ISNA(VLOOKUP(I248,'[1]Efficiency Lookup'!$D$2:$G$35,3,FALSE)),0,VLOOKUP(I248,'[1]Efficiency Lookup'!$D$2:$G$35,3,FALSE))</f>
        <v>0.25</v>
      </c>
      <c r="AP248" s="823">
        <f>U248*AO248</f>
        <v>1.5413991659504136</v>
      </c>
      <c r="AQ248" s="847">
        <f>IF(X248="RR",IF((0.0308*(AA248^5)-0.2562*(AA248^4)+0.8634*(AA248^3)-1.5285*(AA248^2)+1.501*AA248-0.013)&gt;0.7,0.7,IF((0.0308*(AA248^5)-0.2562*(AA248^4)+0.8634*(AA248^3)-1.5285*(AA248^2)+1.501*AA248-0.013)&lt;0,0,(0.0308*(AA248^5)-0.2562*(AA248^4)+0.8634*(AA248^3)-1.5285*(AA248^2)+1.501*AA248-0.013))),IF((0.0152*(AA248^5)-0.131*(AA248^4)+0.4581*(AA248^3)-0.8418*(AA248^2)+0.8536*AA248-0.0046)&gt;0.65,0.65,IF((0.0152*(AA248^5)-0.131*(AA248^4)+0.4581*(AA248^3)-0.8418*(AA248^2)+0.8536*AA248-0.0046)&lt;0,0,(0.0152*(AA248^5)-0.131*(AA248^4)+0.4581*(AA248^3)-0.8418*(AA248^2)+0.8536*AA248-0.0046))))</f>
        <v>0.2851998539049016</v>
      </c>
      <c r="AR248" s="848">
        <f>U248*AQ248</f>
        <v>1.7584272677527806</v>
      </c>
      <c r="AS248" s="842">
        <f>IF(AK248=AF248,MAX(AP248,AR248),IF(AK248=AH248,AP248,AR248))</f>
        <v>1.7584272677527806</v>
      </c>
      <c r="AT248" s="1091"/>
      <c r="AU248" s="1090"/>
      <c r="AV248" s="849">
        <f>IF(ISNA(VLOOKUP(I248,'[1]Efficiency Lookup'!$D$2:$G$35,4,FALSE)),0,VLOOKUP(I248,'[1]Efficiency Lookup'!$D$2:$G$35,4,FALSE))</f>
        <v>0.55000000000000004</v>
      </c>
      <c r="AW248" s="848">
        <f>$V248*AV248</f>
        <v>274.48169224745459</v>
      </c>
      <c r="AX248" s="836">
        <f>IF(X248="RR",IF((0.0326*(AA248^5)-0.2806*(AA248^4)+0.9816*(AA248^3)-1.8039*(AA248^2)+1.8292*AA248-0.0098)&gt;0.85,0.85,IF((0.0326*(AA248^5)-0.2806*(AA248^4)+0.9816*(AA248^3)-1.8039*(AA248^2)+1.8292*AA248-0.0098)&lt;0,0,(0.0326*(AA248^5)-0.2806*(AA248^4)+0.9816*(AA248^3)-1.8039*(AA248^2)+1.8292*AA248-0.0098))),IF((0.0304*(AA248^5)-0.2619*(AA248^4)+0.9161*(AA248^3)-1.6837*(AA248^2)+1.7072*AA248-0.0091)&gt;0.8,0.8,IF((0.0304*(AA248^5)-0.2619*(AA248^4)+0.9161*(AA248^3)-1.6837*(AA248^2)+1.7072*AA248-0.0091)&lt;0,0,(0.0304*(AA248^5)-0.2619*(AA248^4)+0.9161*(AA248^3)-1.6837*(AA248^2)+1.7072*AA248-0.0091))))</f>
        <v>0.35641763266902571</v>
      </c>
      <c r="AY248" s="974">
        <f>$V248*AX248</f>
        <v>177.87293629422877</v>
      </c>
      <c r="AZ248" s="842">
        <f>IF(AK248=AJ248,AY248,IF(AK248=AH248,AW248,IF(AP248=AR248,MAX(AW248,AY248),IF(AS248=AP248,AW248,AY248))))</f>
        <v>177.87293629422877</v>
      </c>
      <c r="BA248" s="1091"/>
      <c r="BB248" s="1090"/>
      <c r="BC248" s="1092"/>
      <c r="BD248" s="1093"/>
      <c r="BE248" s="1094"/>
      <c r="BF248" s="828"/>
    </row>
    <row r="249" spans="1:58" s="826" customFormat="1" ht="18.600000000000001" customHeight="1" x14ac:dyDescent="0.25">
      <c r="B249" s="846">
        <v>-78.440016</v>
      </c>
      <c r="C249" s="846">
        <v>38.041485000000002</v>
      </c>
      <c r="D249" s="846">
        <v>1</v>
      </c>
      <c r="E249" s="833" t="s">
        <v>281</v>
      </c>
      <c r="F249" s="833" t="s">
        <v>531</v>
      </c>
      <c r="G249" s="833"/>
      <c r="H249" s="815" t="s">
        <v>343</v>
      </c>
      <c r="I249" s="815" t="s">
        <v>284</v>
      </c>
      <c r="K249" s="816">
        <v>1.9</v>
      </c>
      <c r="L249" s="816"/>
      <c r="M249" s="816">
        <v>0</v>
      </c>
      <c r="N249" s="816">
        <f>6436/43560</f>
        <v>0.14775022956841138</v>
      </c>
      <c r="O249" s="817">
        <f t="shared" si="77"/>
        <v>0</v>
      </c>
      <c r="P249" s="817">
        <f t="shared" si="78"/>
        <v>7.7763278720216517E-2</v>
      </c>
      <c r="T249" s="818">
        <f t="shared" si="79"/>
        <v>0.51994761322314065</v>
      </c>
      <c r="U249" s="818">
        <f t="shared" si="80"/>
        <v>2.7037275887603314</v>
      </c>
      <c r="V249" s="818">
        <f t="shared" si="81"/>
        <v>218.84595040561987</v>
      </c>
      <c r="X249" s="824" t="s">
        <v>285</v>
      </c>
      <c r="Y249" s="826">
        <f>1125*3*0.5</f>
        <v>1687.5</v>
      </c>
      <c r="Z249" s="820">
        <f t="shared" si="82"/>
        <v>0.14775022956841138</v>
      </c>
      <c r="AA249" s="834">
        <f t="shared" si="83"/>
        <v>3.1463642013673092</v>
      </c>
      <c r="AC249" s="836" t="str">
        <f>IF(G249="filterra",0.5, IF(G249="stormfilter",0.45,IF(B249=0,"","NA")))</f>
        <v>NA</v>
      </c>
      <c r="AD249" s="837">
        <f t="shared" si="75"/>
        <v>0</v>
      </c>
      <c r="AE249" s="836">
        <f>IF(ISNA(VLOOKUP(H249,'[1]Efficiency Lookup'!$B$2:$C$38,2,FALSE)),0,(VLOOKUP(H249,'[1]Efficiency Lookup'!$B$2:$C$38,2,FALSE)))</f>
        <v>0.5</v>
      </c>
      <c r="AF249" s="823">
        <f t="shared" ref="AF249:AF251" si="84">T249*AE249</f>
        <v>0.25997380661157032</v>
      </c>
      <c r="AG249" s="836">
        <f>IF(ISNA(VLOOKUP(I249,'[1]Efficiency Lookup'!$D$2:$E$35,2,FALSE)),0,VLOOKUP(I249,'[1]Efficiency Lookup'!$D$2:$E$35,2,FALSE))</f>
        <v>0.45</v>
      </c>
      <c r="AH249" s="823">
        <f t="shared" ref="AH249:AH251" si="85">T249*AG249</f>
        <v>0.23397642595041329</v>
      </c>
      <c r="AI249" s="875">
        <f t="shared" ref="AI249:AI251" si="86">IF(X249="RR",IF((0.0304*(AA249^5)-0.2619*(AA249^4)+0.9161*(AA249^3)-1.6837*(AA249^2)+1.7072*AA249-0.0091)&gt;0.85,0.85,IF((0.0304*(AA249^5)-0.2619*(AA249^4)+0.9161*(AA249^3)-1.6837*(AA249^2)+1.7072*AA249-0.0091)&lt;0,0,(0.0304*(AA249^5)-0.2619*(AA249^4)+0.9161*(AA249^3)-1.6837*(AA249^2)+1.7072*AA249-0.0091))),IF((0.0239*(AA249^5)-0.2058*(AA249^4)+0.7198*(AA249^3)-1.3229*(AA249^2)+1.3414*AA249-0.0072)&gt;0.65,0.65,IF((0.0239*(AA249^5)-0.2058*(AA249^4)+0.7198*(AA249^3)-1.3229*(AA249^2)+1.3414*AA249-0.0072)&lt;0,0,(0.0239*(AA249^5)-0.2058*(AA249^4)+0.7198*(AA249^3)-1.3229*(AA249^2)+1.3414*AA249-0.0072))))</f>
        <v>0.85</v>
      </c>
      <c r="AJ249" s="848">
        <f t="shared" ref="AJ249:AJ251" si="87">T249*AI249</f>
        <v>0.44195547123966955</v>
      </c>
      <c r="AK249" s="840">
        <f t="shared" ref="AK249:AK251" si="88">IF(AC249="","",MAX(AD249,AF249,AH249,AJ249))</f>
        <v>0.44195547123966955</v>
      </c>
      <c r="AL249" s="1091"/>
      <c r="AM249" s="1091"/>
      <c r="AN249" s="1099"/>
      <c r="AO249" s="844">
        <f>IF(ISNA(VLOOKUP(I249,'[1]Efficiency Lookup'!$D$2:$G$35,3,FALSE)),0,VLOOKUP(I249,'[1]Efficiency Lookup'!$D$2:$G$35,3,FALSE))</f>
        <v>0.25</v>
      </c>
      <c r="AP249" s="823">
        <f t="shared" ref="AP249:AP251" si="89">U249*AO249</f>
        <v>0.67593189719008284</v>
      </c>
      <c r="AQ249" s="847">
        <f t="shared" ref="AQ249:AQ251" si="90">IF(X249="RR",IF((0.0308*(AA249^5)-0.2562*(AA249^4)+0.8634*(AA249^3)-1.5285*(AA249^2)+1.501*AA249-0.013)&gt;0.7,0.7,IF((0.0308*(AA249^5)-0.2562*(AA249^4)+0.8634*(AA249^3)-1.5285*(AA249^2)+1.501*AA249-0.013)&lt;0,0,(0.0308*(AA249^5)-0.2562*(AA249^4)+0.8634*(AA249^3)-1.5285*(AA249^2)+1.501*AA249-0.013))),IF((0.0152*(AA249^5)-0.131*(AA249^4)+0.4581*(AA249^3)-0.8418*(AA249^2)+0.8536*AA249-0.0046)&gt;0.65,0.65,IF((0.0152*(AA249^5)-0.131*(AA249^4)+0.4581*(AA249^3)-0.8418*(AA249^2)+0.8536*AA249-0.0046)&lt;0,0,(0.0152*(AA249^5)-0.131*(AA249^4)+0.4581*(AA249^3)-0.8418*(AA249^2)+0.8536*AA249-0.0046))))</f>
        <v>0.7</v>
      </c>
      <c r="AR249" s="848">
        <f t="shared" ref="AR249:AR251" si="91">U249*AQ249</f>
        <v>1.8926093121322318</v>
      </c>
      <c r="AS249" s="842">
        <f t="shared" ref="AS249:AS251" si="92">IF(AK249=AF249,MAX(AP249,AR249),IF(AK249=AH249,AP249,AR249))</f>
        <v>1.8926093121322318</v>
      </c>
      <c r="AT249" s="1091"/>
      <c r="AU249" s="1090"/>
      <c r="AV249" s="844">
        <f>IF(ISNA(VLOOKUP(I249,'[1]Efficiency Lookup'!$D$2:$G$35,4,FALSE)),0,VLOOKUP(I249,'[1]Efficiency Lookup'!$D$2:$G$35,4,FALSE))</f>
        <v>0.55000000000000004</v>
      </c>
      <c r="AW249" s="823">
        <f t="shared" ref="AW249:AW251" si="93">$V249*AV249</f>
        <v>120.36527272309094</v>
      </c>
      <c r="AX249" s="847">
        <f t="shared" ref="AX249:AX251" si="94">IF(X249="RR",IF((0.0326*(AA249^5)-0.2806*(AA249^4)+0.9816*(AA249^3)-1.8039*(AA249^2)+1.8292*AA249-0.0098)&gt;0.85,0.85,IF((0.0326*(AA249^5)-0.2806*(AA249^4)+0.9816*(AA249^3)-1.8039*(AA249^2)+1.8292*AA249-0.0098)&lt;0,0,(0.0326*(AA249^5)-0.2806*(AA249^4)+0.9816*(AA249^3)-1.8039*(AA249^2)+1.8292*AA249-0.0098))),IF((0.0304*(AA249^5)-0.2619*(AA249^4)+0.9161*(AA249^3)-1.6837*(AA249^2)+1.7072*AA249-0.0091)&gt;0.8,0.8,IF((0.0304*(AA249^5)-0.2619*(AA249^4)+0.9161*(AA249^3)-1.6837*(AA249^2)+1.7072*AA249-0.0091)&lt;0,0,(0.0304*(AA249^5)-0.2619*(AA249^4)+0.9161*(AA249^3)-1.6837*(AA249^2)+1.7072*AA249-0.0091))))</f>
        <v>0.85</v>
      </c>
      <c r="AY249" s="975">
        <f t="shared" ref="AY249:AY251" si="95">$V249*AX249</f>
        <v>186.01905784477688</v>
      </c>
      <c r="AZ249" s="842">
        <f t="shared" ref="AZ249:AZ251" si="96">IF(AK249=AJ249,AY249,IF(AK249=AH249,AW249,IF(AP249=AR249,MAX(AW249,AY249),IF(AS249=AP249,AW249,AY249))))</f>
        <v>186.01905784477688</v>
      </c>
      <c r="BA249" s="1091"/>
      <c r="BB249" s="1090"/>
      <c r="BC249" s="1092"/>
      <c r="BD249" s="1093"/>
      <c r="BE249" s="1094"/>
      <c r="BF249" s="868"/>
    </row>
    <row r="250" spans="1:58" s="826" customFormat="1" ht="18.600000000000001" customHeight="1" x14ac:dyDescent="0.25">
      <c r="B250" s="846">
        <v>-78.439633999999998</v>
      </c>
      <c r="C250" s="846">
        <v>38.040475999999998</v>
      </c>
      <c r="D250" s="846">
        <v>1</v>
      </c>
      <c r="E250" s="833" t="s">
        <v>331</v>
      </c>
      <c r="F250" s="833" t="s">
        <v>532</v>
      </c>
      <c r="G250" s="833"/>
      <c r="H250" s="815" t="s">
        <v>367</v>
      </c>
      <c r="I250" s="815" t="s">
        <v>334</v>
      </c>
      <c r="K250" s="816">
        <v>0.54</v>
      </c>
      <c r="L250" s="816"/>
      <c r="M250" s="816">
        <v>0</v>
      </c>
      <c r="N250" s="816">
        <f>0.16*K250</f>
        <v>8.6400000000000005E-2</v>
      </c>
      <c r="O250" s="817">
        <f t="shared" si="77"/>
        <v>0</v>
      </c>
      <c r="P250" s="817">
        <f t="shared" si="78"/>
        <v>0.16</v>
      </c>
      <c r="T250" s="818">
        <f t="shared" si="79"/>
        <v>0.23892822720000007</v>
      </c>
      <c r="U250" s="818">
        <f t="shared" si="80"/>
        <v>1.2424267814400003</v>
      </c>
      <c r="V250" s="818">
        <f t="shared" si="81"/>
        <v>100.56489082848002</v>
      </c>
      <c r="X250" s="824" t="s">
        <v>278</v>
      </c>
      <c r="Z250" s="820">
        <f t="shared" si="82"/>
        <v>8.6400000000000005E-2</v>
      </c>
      <c r="AA250" s="834">
        <f t="shared" si="83"/>
        <v>0</v>
      </c>
      <c r="AB250" s="831"/>
      <c r="AC250" s="836" t="str">
        <f>IF(G250="filterra",0.5, IF(G250="stormfilter",0.45,IF(B250=0,"","NA")))</f>
        <v>NA</v>
      </c>
      <c r="AD250" s="837">
        <f t="shared" si="75"/>
        <v>0</v>
      </c>
      <c r="AE250" s="836">
        <f>IF(ISNA(VLOOKUP(H250,'[1]Efficiency Lookup'!$B$2:$C$38,2,FALSE)),0,(VLOOKUP(H250,'[1]Efficiency Lookup'!$B$2:$C$38,2,FALSE)))</f>
        <v>0.35</v>
      </c>
      <c r="AF250" s="823">
        <f t="shared" si="84"/>
        <v>8.3624879520000014E-2</v>
      </c>
      <c r="AG250" s="847">
        <f>IF(ISNA(VLOOKUP(I250,'[1]Efficiency Lookup'!$D$2:$E$35,2,FALSE)),0,VLOOKUP(I250,'[1]Efficiency Lookup'!$D$2:$E$35,2,FALSE))</f>
        <v>0.75</v>
      </c>
      <c r="AH250" s="848">
        <f t="shared" si="85"/>
        <v>0.17919617040000005</v>
      </c>
      <c r="AI250" s="839">
        <f t="shared" si="86"/>
        <v>0</v>
      </c>
      <c r="AJ250" s="823">
        <f t="shared" si="87"/>
        <v>0</v>
      </c>
      <c r="AK250" s="840">
        <f t="shared" si="88"/>
        <v>0.17919617040000005</v>
      </c>
      <c r="AL250" s="1091"/>
      <c r="AM250" s="1091"/>
      <c r="AN250" s="1099"/>
      <c r="AO250" s="849">
        <f>IF(ISNA(VLOOKUP(I250,'[1]Efficiency Lookup'!$D$2:$G$35,3,FALSE)),0,VLOOKUP(I250,'[1]Efficiency Lookup'!$D$2:$G$35,3,FALSE))</f>
        <v>0.7</v>
      </c>
      <c r="AP250" s="848">
        <f t="shared" si="89"/>
        <v>0.86969874700800021</v>
      </c>
      <c r="AQ250" s="836">
        <f t="shared" si="90"/>
        <v>0</v>
      </c>
      <c r="AR250" s="823">
        <f t="shared" si="91"/>
        <v>0</v>
      </c>
      <c r="AS250" s="842">
        <f t="shared" si="92"/>
        <v>0.86969874700800021</v>
      </c>
      <c r="AT250" s="1091"/>
      <c r="AU250" s="1090"/>
      <c r="AV250" s="849">
        <f>IF(ISNA(VLOOKUP(I250,'[1]Efficiency Lookup'!$D$2:$G$35,4,FALSE)),0,VLOOKUP(I250,'[1]Efficiency Lookup'!$D$2:$G$35,4,FALSE))</f>
        <v>0.8</v>
      </c>
      <c r="AW250" s="848">
        <f t="shared" si="93"/>
        <v>80.451912662784025</v>
      </c>
      <c r="AX250" s="836">
        <f t="shared" si="94"/>
        <v>0</v>
      </c>
      <c r="AY250" s="974">
        <f t="shared" si="95"/>
        <v>0</v>
      </c>
      <c r="AZ250" s="842">
        <f t="shared" si="96"/>
        <v>80.451912662784025</v>
      </c>
      <c r="BA250" s="1091"/>
      <c r="BB250" s="1090"/>
      <c r="BC250" s="1092"/>
      <c r="BD250" s="1093"/>
      <c r="BE250" s="1094"/>
      <c r="BF250" s="868"/>
    </row>
    <row r="251" spans="1:58" s="826" customFormat="1" ht="18.600000000000001" customHeight="1" x14ac:dyDescent="0.25">
      <c r="B251" s="846">
        <v>-78.439980000000006</v>
      </c>
      <c r="C251" s="846">
        <v>38.041384999999998</v>
      </c>
      <c r="D251" s="846">
        <v>1</v>
      </c>
      <c r="E251" s="833" t="s">
        <v>331</v>
      </c>
      <c r="F251" s="833" t="s">
        <v>532</v>
      </c>
      <c r="G251" s="833"/>
      <c r="H251" s="815" t="s">
        <v>367</v>
      </c>
      <c r="I251" s="815" t="s">
        <v>334</v>
      </c>
      <c r="K251" s="816">
        <v>1.34</v>
      </c>
      <c r="L251" s="816"/>
      <c r="M251" s="816">
        <v>0</v>
      </c>
      <c r="N251" s="816">
        <f>0.15*K251</f>
        <v>0.20100000000000001</v>
      </c>
      <c r="O251" s="817">
        <f t="shared" si="77"/>
        <v>0</v>
      </c>
      <c r="P251" s="817">
        <f t="shared" si="78"/>
        <v>0.15</v>
      </c>
      <c r="T251" s="818">
        <f t="shared" si="79"/>
        <v>0.56539048800000014</v>
      </c>
      <c r="U251" s="818">
        <f t="shared" si="80"/>
        <v>2.9400305376000007</v>
      </c>
      <c r="V251" s="818">
        <f t="shared" si="81"/>
        <v>237.97285639920005</v>
      </c>
      <c r="X251" s="824" t="s">
        <v>278</v>
      </c>
      <c r="Z251" s="820">
        <f t="shared" si="82"/>
        <v>0.20100000000000001</v>
      </c>
      <c r="AA251" s="834">
        <f t="shared" si="83"/>
        <v>0</v>
      </c>
      <c r="AB251" s="831"/>
      <c r="AC251" s="836" t="str">
        <f>IF(G251="filterra",0.5, IF(G251="stormfilter",0.45,IF(B251=0,"","NA")))</f>
        <v>NA</v>
      </c>
      <c r="AD251" s="837">
        <f t="shared" si="75"/>
        <v>0</v>
      </c>
      <c r="AE251" s="836">
        <f>IF(ISNA(VLOOKUP(H251,'[1]Efficiency Lookup'!$B$2:$C$38,2,FALSE)),0,(VLOOKUP(H251,'[1]Efficiency Lookup'!$B$2:$C$38,2,FALSE)))</f>
        <v>0.35</v>
      </c>
      <c r="AF251" s="823">
        <f t="shared" si="84"/>
        <v>0.19788667080000003</v>
      </c>
      <c r="AG251" s="847">
        <f>IF(ISNA(VLOOKUP(I251,'[1]Efficiency Lookup'!$D$2:$E$35,2,FALSE)),0,VLOOKUP(I251,'[1]Efficiency Lookup'!$D$2:$E$35,2,FALSE))</f>
        <v>0.75</v>
      </c>
      <c r="AH251" s="848">
        <f t="shared" si="85"/>
        <v>0.42404286600000007</v>
      </c>
      <c r="AI251" s="839">
        <f t="shared" si="86"/>
        <v>0</v>
      </c>
      <c r="AJ251" s="823">
        <f t="shared" si="87"/>
        <v>0</v>
      </c>
      <c r="AK251" s="840">
        <f t="shared" si="88"/>
        <v>0.42404286600000007</v>
      </c>
      <c r="AL251" s="1091"/>
      <c r="AM251" s="1091"/>
      <c r="AN251" s="1099"/>
      <c r="AO251" s="849">
        <f>IF(ISNA(VLOOKUP(I251,'[1]Efficiency Lookup'!$D$2:$G$35,3,FALSE)),0,VLOOKUP(I251,'[1]Efficiency Lookup'!$D$2:$G$35,3,FALSE))</f>
        <v>0.7</v>
      </c>
      <c r="AP251" s="848">
        <f t="shared" si="89"/>
        <v>2.0580213763200002</v>
      </c>
      <c r="AQ251" s="836">
        <f t="shared" si="90"/>
        <v>0</v>
      </c>
      <c r="AR251" s="823">
        <f t="shared" si="91"/>
        <v>0</v>
      </c>
      <c r="AS251" s="842">
        <f t="shared" si="92"/>
        <v>2.0580213763200002</v>
      </c>
      <c r="AT251" s="1091"/>
      <c r="AU251" s="1090"/>
      <c r="AV251" s="849">
        <f>IF(ISNA(VLOOKUP(I251,'[1]Efficiency Lookup'!$D$2:$G$35,4,FALSE)),0,VLOOKUP(I251,'[1]Efficiency Lookup'!$D$2:$G$35,4,FALSE))</f>
        <v>0.8</v>
      </c>
      <c r="AW251" s="848">
        <f t="shared" si="93"/>
        <v>190.37828511936004</v>
      </c>
      <c r="AX251" s="836">
        <f t="shared" si="94"/>
        <v>0</v>
      </c>
      <c r="AY251" s="974">
        <f t="shared" si="95"/>
        <v>0</v>
      </c>
      <c r="AZ251" s="842">
        <f t="shared" si="96"/>
        <v>190.37828511936004</v>
      </c>
      <c r="BA251" s="1091"/>
      <c r="BB251" s="1090"/>
      <c r="BC251" s="1092"/>
      <c r="BD251" s="1093"/>
      <c r="BE251" s="1094"/>
      <c r="BF251" s="868"/>
    </row>
    <row r="252" spans="1:58" ht="18.600000000000001" customHeight="1" x14ac:dyDescent="0.25">
      <c r="E252" s="1048"/>
      <c r="F252" s="1048"/>
      <c r="G252" s="1048"/>
      <c r="H252" s="1021"/>
      <c r="I252" s="1021"/>
      <c r="M252" s="11"/>
      <c r="N252" s="11"/>
      <c r="O252" s="25"/>
      <c r="P252" s="25"/>
      <c r="T252" s="8"/>
      <c r="U252" s="8"/>
      <c r="V252" s="8"/>
      <c r="X252" s="34"/>
      <c r="Z252" s="257"/>
      <c r="AA252" s="258"/>
      <c r="AB252" s="5"/>
      <c r="AC252" s="134" t="str">
        <f t="shared" ref="AC252:AC253" si="97">IF(G252="filterra",0.5, IF(G252="stormfilter",0.45,IF(B252=0,"","NA")))</f>
        <v/>
      </c>
      <c r="AD252" s="741"/>
      <c r="AE252" s="134"/>
      <c r="AF252" s="313"/>
      <c r="AG252" s="134"/>
      <c r="AH252" s="133"/>
      <c r="AI252" s="132"/>
      <c r="AJ252" s="133"/>
      <c r="AW252"/>
    </row>
    <row r="253" spans="1:58" s="826" customFormat="1" ht="18.600000000000001" customHeight="1" x14ac:dyDescent="0.25">
      <c r="A253" s="814" t="s">
        <v>533</v>
      </c>
      <c r="B253" s="814" t="s">
        <v>534</v>
      </c>
      <c r="C253" s="814"/>
      <c r="D253" s="1095" t="s">
        <v>271</v>
      </c>
      <c r="E253" s="1095"/>
      <c r="F253" s="1002"/>
      <c r="G253" s="1002"/>
      <c r="H253" s="815"/>
      <c r="I253" s="815"/>
      <c r="J253" s="1002"/>
      <c r="K253" s="814">
        <v>8.86</v>
      </c>
      <c r="L253" s="814"/>
      <c r="M253" s="814">
        <v>0</v>
      </c>
      <c r="N253" s="816">
        <v>3.01</v>
      </c>
      <c r="O253" s="817">
        <f>+M253/K253</f>
        <v>0</v>
      </c>
      <c r="P253" s="817">
        <f>+N253/K253</f>
        <v>0.33972911963882618</v>
      </c>
      <c r="Q253" s="851">
        <f>43*0.9*(0.05+0.9*0.16)*0.26*$K253*2.72/12</f>
        <v>3.9201927648000008</v>
      </c>
      <c r="R253" s="819">
        <f>43*0.9*(0.05+0.9*O253)*0.26*$K253*2.72/12</f>
        <v>1.0103589600000003</v>
      </c>
      <c r="S253" s="818">
        <f>IF(J253="R",R253,Q253)</f>
        <v>3.9201927648000008</v>
      </c>
      <c r="T253" s="818">
        <f>43*0.9*(0.05+0.9*P253)*0.26*$K253*2.72/12</f>
        <v>7.1888294399999992</v>
      </c>
      <c r="U253" s="818">
        <f>T253*5.2</f>
        <v>37.381913087999997</v>
      </c>
      <c r="V253" s="818">
        <f>T253*420.9</f>
        <v>3025.7783112959996</v>
      </c>
      <c r="W253" s="818">
        <f>IF(P253 &lt; 16%, 0, IF(K253 &lt; 1, 0, T253-S253))</f>
        <v>3.2686366751999985</v>
      </c>
      <c r="X253" s="818"/>
      <c r="Y253" s="820"/>
      <c r="Z253" s="820"/>
      <c r="AA253" s="818"/>
      <c r="AB253" s="821" t="s">
        <v>297</v>
      </c>
      <c r="AC253" s="822" t="str">
        <f t="shared" si="97"/>
        <v>NA</v>
      </c>
      <c r="AD253" s="819">
        <f t="shared" ref="AD253:AD255" si="98">IF(AC253="NA",0,IF(AC253="","",T253*AC253))</f>
        <v>0</v>
      </c>
      <c r="AE253" s="823"/>
      <c r="AF253" s="824"/>
      <c r="AG253" s="819"/>
      <c r="AH253" s="823"/>
      <c r="AI253" s="819"/>
      <c r="AJ253" s="823"/>
      <c r="AK253" s="825"/>
      <c r="AO253" s="827"/>
      <c r="AP253" s="819"/>
      <c r="AQ253" s="819"/>
      <c r="AR253" s="819"/>
      <c r="AS253" s="828"/>
      <c r="AU253" s="970"/>
      <c r="AV253" s="827"/>
      <c r="AW253" s="819"/>
      <c r="AX253" s="819"/>
      <c r="AY253" s="971"/>
      <c r="AZ253" s="830"/>
      <c r="BA253" s="818"/>
      <c r="BB253" s="972"/>
      <c r="BE253" s="972"/>
      <c r="BF253" s="828" t="s">
        <v>510</v>
      </c>
    </row>
    <row r="254" spans="1:58" s="826" customFormat="1" ht="18.600000000000001" customHeight="1" x14ac:dyDescent="0.25">
      <c r="A254" s="857" t="s">
        <v>463</v>
      </c>
      <c r="B254" s="814">
        <v>-78.481167999999997</v>
      </c>
      <c r="C254" s="814">
        <v>38.085697000000003</v>
      </c>
      <c r="D254" s="832">
        <v>1</v>
      </c>
      <c r="E254" s="833" t="s">
        <v>281</v>
      </c>
      <c r="F254" s="833"/>
      <c r="G254" s="833"/>
      <c r="H254" s="815"/>
      <c r="I254" s="815"/>
      <c r="J254" s="833"/>
      <c r="K254" s="814">
        <v>4.72</v>
      </c>
      <c r="L254" s="814"/>
      <c r="M254" s="816">
        <v>0</v>
      </c>
      <c r="N254" s="814">
        <f>79511/43560</f>
        <v>1.8253213957759413</v>
      </c>
      <c r="O254" s="817">
        <f>+M254/K254</f>
        <v>0</v>
      </c>
      <c r="P254" s="817">
        <f>+N254/K254</f>
        <v>0.38672063469829265</v>
      </c>
      <c r="Q254" s="818"/>
      <c r="R254" s="818"/>
      <c r="S254" s="818"/>
      <c r="T254" s="818">
        <f>IF(J253="TT",IF(F253="u/g detention",(43*0.9*(0.05+0.9*P254)*0.26*$K254*2.72/12)-AK252,(43*0.9*(0.05+0.9*P254)*0.26*$K254*2.72/12)-AK253),43*0.9*(0.05+0.9*P254)*0.26*$K254*2.72/12)</f>
        <v>4.2849922323966938</v>
      </c>
      <c r="U254" s="818">
        <f>T254*5.2</f>
        <v>22.28195960846281</v>
      </c>
      <c r="V254" s="818">
        <f>T254*420.9</f>
        <v>1803.5532306157684</v>
      </c>
      <c r="W254" s="818"/>
      <c r="X254" s="824" t="s">
        <v>278</v>
      </c>
      <c r="Y254" s="820">
        <f>2176*3*0.6</f>
        <v>3916.7999999999997</v>
      </c>
      <c r="Z254" s="820">
        <f>N254</f>
        <v>1.8253213957759413</v>
      </c>
      <c r="AA254" s="834">
        <f>IF(Y254="NA", 0, (Y254/43560)*12/Z254)</f>
        <v>0.59113330231037209</v>
      </c>
      <c r="AB254" s="835"/>
      <c r="AC254" s="836" t="str">
        <f>IF(G254="filterra",0.5, IF(G254="stormfilter",0.45,IF(B254=0,"","NA")))</f>
        <v>NA</v>
      </c>
      <c r="AD254" s="837">
        <f t="shared" si="98"/>
        <v>0</v>
      </c>
      <c r="AE254" s="847">
        <v>0.5</v>
      </c>
      <c r="AF254" s="848">
        <f>T254*AE254</f>
        <v>2.1424961161983469</v>
      </c>
      <c r="AG254" s="836">
        <f>IF(ISNA(VLOOKUP(I254,'[1]Efficiency Lookup'!$D$2:$E$35,2,FALSE)),0,VLOOKUP(I254,'[1]Efficiency Lookup'!$D$2:$E$35,2,FALSE))</f>
        <v>0</v>
      </c>
      <c r="AH254" s="823">
        <f>T254*AG254</f>
        <v>0</v>
      </c>
      <c r="AI254" s="839">
        <f>IF(X254="RR",IF((0.0304*(AA254^5)-0.2619*(AA254^4)+0.9161*(AA254^3)-1.6837*(AA254^2)+1.7072*AA254-0.0091)&gt;0.85,0.85,IF((0.0304*(AA254^5)-0.2619*(AA254^4)+0.9161*(AA254^3)-1.6837*(AA254^2)+1.7072*AA254-0.0091)&lt;0,0,(0.0304*(AA254^5)-0.2619*(AA254^4)+0.9161*(AA254^3)-1.6837*(AA254^2)+1.7072*AA254-0.0091))),IF((0.0239*(AA254^5)-0.2058*(AA254^4)+0.7198*(AA254^3)-1.3229*(AA254^2)+1.3414*AA254-0.0072)&gt;0.65,0.65,IF((0.0239*(AA254^5)-0.2058*(AA254^4)+0.7198*(AA254^3)-1.3229*(AA254^2)+1.3414*AA254-0.0072)&lt;0,0,(0.0239*(AA254^5)-0.2058*(AA254^4)+0.7198*(AA254^3)-1.3229*(AA254^2)+1.3414*AA254-0.0072))))</f>
        <v>0.44875469903045201</v>
      </c>
      <c r="AJ254" s="823">
        <f>T254*AI254</f>
        <v>1.9229103995970029</v>
      </c>
      <c r="AK254" s="840">
        <f t="shared" ref="AK254:AK255" si="99">IF(AC254="","",MAX(AD254,AF254,AH254,AJ254))</f>
        <v>2.1424961161983469</v>
      </c>
      <c r="AL254" s="1091">
        <f>SUM(AK254:AK256)</f>
        <v>4.6136562361983469</v>
      </c>
      <c r="AM254" s="1091">
        <f>AL254-W253</f>
        <v>1.3450195609983484</v>
      </c>
      <c r="AN254" s="1099">
        <f>AM254/AL254</f>
        <v>0.29153007769530848</v>
      </c>
      <c r="AO254" s="844">
        <f>IF(ISNA(VLOOKUP(I254,'[1]Efficiency Lookup'!$D$2:$G$35,3,FALSE)),0,VLOOKUP(I254,'[1]Efficiency Lookup'!$D$2:$G$35,3,FALSE))</f>
        <v>0</v>
      </c>
      <c r="AP254" s="823">
        <f>U254*AO254</f>
        <v>0</v>
      </c>
      <c r="AQ254" s="838">
        <f>IF(X254="RR",IF((0.0308*(AA254^5)-0.2562*(AA254^4)+0.8634*(AA254^3)-1.5285*(AA254^2)+1.501*AA254-0.013)&gt;0.7,0.7,IF((0.0308*(AA254^5)-0.2562*(AA254^4)+0.8634*(AA254^3)-1.5285*(AA254^2)+1.501*AA254-0.013)&lt;0,0,(0.0308*(AA254^5)-0.2562*(AA254^4)+0.8634*(AA254^3)-1.5285*(AA254^2)+1.501*AA254-0.013))),IF((0.0152*(AA254^5)-0.131*(AA254^4)+0.4581*(AA254^3)-0.8418*(AA254^2)+0.8536*AA254-0.0046)&gt;0.65,0.65,IF((0.0152*(AA254^5)-0.131*(AA254^4)+0.4581*(AA254^3)-0.8418*(AA254^2)+0.8536*AA254-0.0046)&lt;0,0,(0.0152*(AA254^5)-0.131*(AA254^4)+0.4581*(AA254^3)-0.8418*(AA254^2)+0.8536*AA254-0.0046))))</f>
        <v>0.28556241883047478</v>
      </c>
      <c r="AR254" s="824">
        <f>U254*AQ254</f>
        <v>6.3628902820755791</v>
      </c>
      <c r="AS254" s="842">
        <f>IF(AK254=AF254,MAX(AP254,AR254),IF(AK254=AH254,AP254,AR254))</f>
        <v>6.3628902820755791</v>
      </c>
      <c r="AT254" s="1091">
        <f>SUM(AS254:AS256)</f>
        <v>11.628364857173676</v>
      </c>
      <c r="AU254" s="1090">
        <f>AT254*AN254</f>
        <v>3.3900181102812361</v>
      </c>
      <c r="AV254" s="844">
        <f>IF(ISNA(VLOOKUP(I254,'[1]Efficiency Lookup'!$D$2:$G$35,4,FALSE)),0,VLOOKUP(I254,'[1]Efficiency Lookup'!$D$2:$G$35,4,FALSE))</f>
        <v>0</v>
      </c>
      <c r="AW254" s="823">
        <f>$V254*AV254</f>
        <v>0</v>
      </c>
      <c r="AX254" s="838">
        <f>IF(X254="RR",IF((0.0326*(AA254^5)-0.2806*(AA254^4)+0.9816*(AA254^3)-1.8039*(AA254^2)+1.8292*AA254-0.0098)&gt;0.85,0.85,IF((0.0326*(AA254^5)-0.2806*(AA254^4)+0.9816*(AA254^3)-1.8039*(AA254^2)+1.8292*AA254-0.0098)&lt;0,0,(0.0326*(AA254^5)-0.2806*(AA254^4)+0.9816*(AA254^3)-1.8039*(AA254^2)+1.8292*AA254-0.0098))),IF((0.0304*(AA254^5)-0.2619*(AA254^4)+0.9161*(AA254^3)-1.6837*(AA254^2)+1.7072*AA254-0.0091)&gt;0.8,0.8,IF((0.0304*(AA254^5)-0.2619*(AA254^4)+0.9161*(AA254^3)-1.6837*(AA254^2)+1.7072*AA254-0.0091)&lt;0,0,(0.0304*(AA254^5)-0.2619*(AA254^4)+0.9161*(AA254^3)-1.6837*(AA254^2)+1.7072*AA254-0.0091))))</f>
        <v>0.57118144805679549</v>
      </c>
      <c r="AY254" s="973">
        <f>$V254*AX254</f>
        <v>1030.1561459106263</v>
      </c>
      <c r="AZ254" s="842">
        <f>IF(AS254=AP254,AW254,AY254)</f>
        <v>1030.1561459106263</v>
      </c>
      <c r="BA254" s="1091">
        <f>SUM(AZ254:AZ256)</f>
        <v>2136.8207543496492</v>
      </c>
      <c r="BB254" s="1090">
        <f>BA254*AN254</f>
        <v>622.94752053650086</v>
      </c>
      <c r="BC254" s="1092">
        <f>AM254</f>
        <v>1.3450195609983484</v>
      </c>
      <c r="BD254" s="1093">
        <f>AU254</f>
        <v>3.3900181102812361</v>
      </c>
      <c r="BE254" s="1094">
        <f>BB254</f>
        <v>622.94752053650086</v>
      </c>
      <c r="BF254" s="856"/>
    </row>
    <row r="255" spans="1:58" s="826" customFormat="1" ht="18.600000000000001" customHeight="1" x14ac:dyDescent="0.25">
      <c r="A255" s="857"/>
      <c r="B255" s="814">
        <v>-78.479251000000005</v>
      </c>
      <c r="C255" s="814">
        <v>38.086013999999999</v>
      </c>
      <c r="D255" s="832">
        <v>1</v>
      </c>
      <c r="E255" s="833" t="s">
        <v>289</v>
      </c>
      <c r="F255" s="833"/>
      <c r="G255" s="815" t="s">
        <v>352</v>
      </c>
      <c r="H255" s="815"/>
      <c r="I255" s="815"/>
      <c r="J255" s="833"/>
      <c r="K255" s="814">
        <v>3.19</v>
      </c>
      <c r="L255" s="814"/>
      <c r="M255" s="816">
        <v>0</v>
      </c>
      <c r="N255" s="814">
        <v>1.39</v>
      </c>
      <c r="O255" s="817">
        <f>+M255/K255</f>
        <v>0</v>
      </c>
      <c r="P255" s="817">
        <f>+N255/K255</f>
        <v>0.43573667711598746</v>
      </c>
      <c r="Q255" s="818"/>
      <c r="R255" s="818"/>
      <c r="S255" s="818"/>
      <c r="T255" s="818">
        <f>IF(J254="TT",IF(F254="u/g detention",(43*0.9*(0.05+0.9*P255)*0.26*$K255*2.72/12)-AK253,(43*0.9*(0.05+0.9*P255)*0.26*$K255*2.72/12)-AK254),43*0.9*(0.05+0.9*P255)*0.26*$K255*2.72/12)</f>
        <v>3.2169555600000002</v>
      </c>
      <c r="U255" s="818">
        <f>T255*5.2</f>
        <v>16.728168912000001</v>
      </c>
      <c r="V255" s="818">
        <f>T255*420.9</f>
        <v>1354.0165952039999</v>
      </c>
      <c r="W255" s="818"/>
      <c r="X255" s="824" t="s">
        <v>278</v>
      </c>
      <c r="Y255" s="820">
        <f>2520</f>
        <v>2520</v>
      </c>
      <c r="Z255" s="820">
        <f>N255</f>
        <v>1.39</v>
      </c>
      <c r="AA255" s="834">
        <f>IF(Y255="NA", 0, (Y255/43560)*12/Z255)</f>
        <v>0.49943516261371074</v>
      </c>
      <c r="AB255" s="835"/>
      <c r="AC255" s="836">
        <f t="shared" ref="AC255" si="100">IF(G255="filterra",0.5, IF(G255="stormfilter",0.45,IF(B255=0,"","NA")))</f>
        <v>0.45</v>
      </c>
      <c r="AD255" s="837">
        <f t="shared" si="98"/>
        <v>1.4476300020000001</v>
      </c>
      <c r="AE255" s="847">
        <v>0.5</v>
      </c>
      <c r="AF255" s="848">
        <f>T255*AE255</f>
        <v>1.6084777800000001</v>
      </c>
      <c r="AG255" s="836">
        <f>IF(ISNA(VLOOKUP(I255,'[1]Efficiency Lookup'!$D$2:$E$35,2,FALSE)),0,VLOOKUP(I255,'[1]Efficiency Lookup'!$D$2:$E$35,2,FALSE))</f>
        <v>0</v>
      </c>
      <c r="AH255" s="823">
        <f>T255*AG255</f>
        <v>0</v>
      </c>
      <c r="AI255" s="839">
        <f>IF(X255="RR",IF((0.0304*(AA255^5)-0.2619*(AA255^4)+0.9161*(AA255^3)-1.6837*(AA255^2)+1.7072*AA255-0.0091)&gt;0.85,0.85,IF((0.0304*(AA255^5)-0.2619*(AA255^4)+0.9161*(AA255^3)-1.6837*(AA255^2)+1.7072*AA255-0.0091)&lt;0,0,(0.0304*(AA255^5)-0.2619*(AA255^4)+0.9161*(AA255^3)-1.6837*(AA255^2)+1.7072*AA255-0.0091))),IF((0.0239*(AA255^5)-0.2058*(AA255^4)+0.7198*(AA255^3)-1.3229*(AA255^2)+1.3414*AA255-0.0072)&gt;0.65,0.65,IF((0.0239*(AA255^5)-0.2058*(AA255^4)+0.7198*(AA255^3)-1.3229*(AA255^2)+1.3414*AA255-0.0072)&lt;0,0,(0.0239*(AA255^5)-0.2058*(AA255^4)+0.7198*(AA255^3)-1.3229*(AA255^2)+1.3414*AA255-0.0072))))</f>
        <v>0.41037273456934337</v>
      </c>
      <c r="AJ255" s="823">
        <f>T255*AI255</f>
        <v>1.3201508501452535</v>
      </c>
      <c r="AK255" s="840">
        <f t="shared" si="99"/>
        <v>1.6084777800000001</v>
      </c>
      <c r="AL255" s="1091"/>
      <c r="AM255" s="1091"/>
      <c r="AN255" s="1099"/>
      <c r="AO255" s="844">
        <f>IF(ISNA(VLOOKUP(I255,'[1]Efficiency Lookup'!$D$2:$G$35,3,FALSE)),0,VLOOKUP(I255,'[1]Efficiency Lookup'!$D$2:$G$35,3,FALSE))</f>
        <v>0</v>
      </c>
      <c r="AP255" s="823">
        <f>U255*AO255</f>
        <v>0</v>
      </c>
      <c r="AQ255" s="838">
        <f>IF(X255="RR",IF((0.0308*(AA255^5)-0.2562*(AA255^4)+0.8634*(AA255^3)-1.5285*(AA255^2)+1.501*AA255-0.013)&gt;0.7,0.7,IF((0.0308*(AA255^5)-0.2562*(AA255^4)+0.8634*(AA255^3)-1.5285*(AA255^2)+1.501*AA255-0.013)&lt;0,0,(0.0308*(AA255^5)-0.2562*(AA255^4)+0.8634*(AA255^3)-1.5285*(AA255^2)+1.501*AA255-0.013))),IF((0.0152*(AA255^5)-0.131*(AA255^4)+0.4581*(AA255^3)-0.8418*(AA255^2)+0.8536*AA255-0.0046)&gt;0.65,0.65,IF((0.0152*(AA255^5)-0.131*(AA255^4)+0.4581*(AA255^3)-0.8418*(AA255^2)+0.8536*AA255-0.0046)&lt;0,0,(0.0152*(AA255^5)-0.131*(AA255^4)+0.4581*(AA255^3)-0.8418*(AA255^2)+0.8536*AA255-0.0046))))</f>
        <v>0.26113347877330995</v>
      </c>
      <c r="AR255" s="824">
        <f>U255*AQ255</f>
        <v>4.3682849414980955</v>
      </c>
      <c r="AS255" s="842">
        <f>IF(AK255=AF255,MAX(AP255,AR255),IF(AK255=AH255,AP255,AR255))</f>
        <v>4.3682849414980955</v>
      </c>
      <c r="AT255" s="1091"/>
      <c r="AU255" s="1090"/>
      <c r="AV255" s="844">
        <f>IF(ISNA(VLOOKUP(I255,'[1]Efficiency Lookup'!$D$2:$G$35,4,FALSE)),0,VLOOKUP(I255,'[1]Efficiency Lookup'!$D$2:$G$35,4,FALSE))</f>
        <v>0</v>
      </c>
      <c r="AW255" s="823">
        <f>$V255*AV255</f>
        <v>0</v>
      </c>
      <c r="AX255" s="838">
        <f>IF(X255="RR",IF((0.0326*(AA255^5)-0.2806*(AA255^4)+0.9816*(AA255^3)-1.8039*(AA255^2)+1.8292*AA255-0.0098)&gt;0.85,0.85,IF((0.0326*(AA255^5)-0.2806*(AA255^4)+0.9816*(AA255^3)-1.8039*(AA255^2)+1.8292*AA255-0.0098)&lt;0,0,(0.0326*(AA255^5)-0.2806*(AA255^4)+0.9816*(AA255^3)-1.8039*(AA255^2)+1.8292*AA255-0.0098))),IF((0.0304*(AA255^5)-0.2619*(AA255^4)+0.9161*(AA255^3)-1.6837*(AA255^2)+1.7072*AA255-0.0091)&gt;0.8,0.8,IF((0.0304*(AA255^5)-0.2619*(AA255^4)+0.9161*(AA255^3)-1.6837*(AA255^2)+1.7072*AA255-0.0091)&lt;0,0,(0.0304*(AA255^5)-0.2619*(AA255^4)+0.9161*(AA255^3)-1.6837*(AA255^2)+1.7072*AA255-0.0091))))</f>
        <v>0.52233577811937104</v>
      </c>
      <c r="AY255" s="973">
        <f>$V255*AX255</f>
        <v>707.25131184242275</v>
      </c>
      <c r="AZ255" s="842">
        <f>IF(AK255=AJ255,AY255,IF(AK255=AH255,AW255,IF(AP255=AR255,MAX(AW255,AY255),IF(AS255=AP255,AW255,AY255))))</f>
        <v>707.25131184242275</v>
      </c>
      <c r="BA255" s="1091"/>
      <c r="BB255" s="1090"/>
      <c r="BC255" s="1092"/>
      <c r="BD255" s="1093"/>
      <c r="BE255" s="1094"/>
      <c r="BF255" s="856"/>
    </row>
    <row r="256" spans="1:58" s="826" customFormat="1" ht="18.600000000000001" customHeight="1" x14ac:dyDescent="0.25">
      <c r="A256" s="857"/>
      <c r="B256" s="814">
        <v>-78.479855999999998</v>
      </c>
      <c r="C256" s="814">
        <v>38.086010999999999</v>
      </c>
      <c r="D256" s="832">
        <v>1</v>
      </c>
      <c r="E256" s="833" t="s">
        <v>535</v>
      </c>
      <c r="F256" s="833"/>
      <c r="G256" s="815" t="s">
        <v>536</v>
      </c>
      <c r="H256" s="815" t="s">
        <v>537</v>
      </c>
      <c r="I256" s="815" t="s">
        <v>538</v>
      </c>
      <c r="J256" s="833"/>
      <c r="K256" s="814">
        <v>1.27</v>
      </c>
      <c r="L256" s="814"/>
      <c r="M256" s="816">
        <v>0</v>
      </c>
      <c r="N256" s="814">
        <v>0.77</v>
      </c>
      <c r="O256" s="817">
        <f>+M256/K256</f>
        <v>0</v>
      </c>
      <c r="P256" s="817">
        <f>+N256/K256</f>
        <v>0.60629921259842523</v>
      </c>
      <c r="Q256" s="818"/>
      <c r="R256" s="818"/>
      <c r="S256" s="818"/>
      <c r="T256" s="818">
        <f>IF(J255="TT",IF(F255="u/g detention",(43*0.9*(0.05+0.9*P256)*0.26*$K256*2.72/12)-AK254,(43*0.9*(0.05+0.9*P256)*0.26*$K256*2.72/12)-AK255),43*0.9*(0.05+0.9*P256)*0.26*$K256*2.72/12)</f>
        <v>1.7253646800000009</v>
      </c>
      <c r="U256" s="818">
        <f>T256*5.2</f>
        <v>8.9718963360000057</v>
      </c>
      <c r="V256" s="818">
        <f>T256*420.9</f>
        <v>726.20599381200032</v>
      </c>
      <c r="W256" s="818"/>
      <c r="X256" s="824" t="s">
        <v>278</v>
      </c>
      <c r="Y256" s="820"/>
      <c r="Z256" s="820">
        <f>N256</f>
        <v>0.77</v>
      </c>
      <c r="AA256" s="834">
        <f>IF(Y256="NA", 0, (Y256/43560)*12/Z256)</f>
        <v>0</v>
      </c>
      <c r="AB256" s="835"/>
      <c r="AC256" s="836" t="str">
        <f>IF(G256="filterra",0.5, IF(G256="stormfilter",0.45,IF(B256=0,"","NA")))</f>
        <v>NA</v>
      </c>
      <c r="AD256" s="837">
        <f t="shared" ref="AD256" si="101">IF(AC256="NA",0,IF(AC256="","",T256*AC256))</f>
        <v>0</v>
      </c>
      <c r="AE256" s="847">
        <v>0.5</v>
      </c>
      <c r="AF256" s="848">
        <f>T256*AE256</f>
        <v>0.86268234000000044</v>
      </c>
      <c r="AG256" s="836">
        <f>IF(ISNA(VLOOKUP(I256,'[1]Efficiency Lookup'!$D$2:$E$35,2,FALSE)),0,VLOOKUP(I256,'[1]Efficiency Lookup'!$D$2:$E$35,2,FALSE))</f>
        <v>0.2</v>
      </c>
      <c r="AH256" s="823">
        <f>T256*AG256</f>
        <v>0.34507293600000022</v>
      </c>
      <c r="AI256" s="839">
        <f>IF(X256="RR",IF((0.0304*(AA256^5)-0.2619*(AA256^4)+0.9161*(AA256^3)-1.6837*(AA256^2)+1.7072*AA256-0.0091)&gt;0.85,0.85,IF((0.0304*(AA256^5)-0.2619*(AA256^4)+0.9161*(AA256^3)-1.6837*(AA256^2)+1.7072*AA256-0.0091)&lt;0,0,(0.0304*(AA256^5)-0.2619*(AA256^4)+0.9161*(AA256^3)-1.6837*(AA256^2)+1.7072*AA256-0.0091))),IF((0.0239*(AA256^5)-0.2058*(AA256^4)+0.7198*(AA256^3)-1.3229*(AA256^2)+1.3414*AA256-0.0072)&gt;0.65,0.65,IF((0.0239*(AA256^5)-0.2058*(AA256^4)+0.7198*(AA256^3)-1.3229*(AA256^2)+1.3414*AA256-0.0072)&lt;0,0,(0.0239*(AA256^5)-0.2058*(AA256^4)+0.7198*(AA256^3)-1.3229*(AA256^2)+1.3414*AA256-0.0072))))</f>
        <v>0</v>
      </c>
      <c r="AJ256" s="823">
        <f>T256*AI256</f>
        <v>0</v>
      </c>
      <c r="AK256" s="840">
        <f t="shared" ref="AK256" si="102">IF(AC256="","",MAX(AD256,AF256,AH256,AJ256))</f>
        <v>0.86268234000000044</v>
      </c>
      <c r="AO256" s="849">
        <f>IF(ISNA(VLOOKUP(I256,'[1]Efficiency Lookup'!$D$2:$G$35,3,FALSE)),0,VLOOKUP(I256,'[1]Efficiency Lookup'!$D$2:$G$35,3,FALSE))</f>
        <v>0.1</v>
      </c>
      <c r="AP256" s="848">
        <f>U256*AO256</f>
        <v>0.89718963360000059</v>
      </c>
      <c r="AQ256" s="836">
        <f>IF(X256="RR",IF((0.0308*(AA256^5)-0.2562*(AA256^4)+0.8634*(AA256^3)-1.5285*(AA256^2)+1.501*AA256-0.013)&gt;0.7,0.7,IF((0.0308*(AA256^5)-0.2562*(AA256^4)+0.8634*(AA256^3)-1.5285*(AA256^2)+1.501*AA256-0.013)&lt;0,0,(0.0308*(AA256^5)-0.2562*(AA256^4)+0.8634*(AA256^3)-1.5285*(AA256^2)+1.501*AA256-0.013))),IF((0.0152*(AA256^5)-0.131*(AA256^4)+0.4581*(AA256^3)-0.8418*(AA256^2)+0.8536*AA256-0.0046)&gt;0.65,0.65,IF((0.0152*(AA256^5)-0.131*(AA256^4)+0.4581*(AA256^3)-0.8418*(AA256^2)+0.8536*AA256-0.0046)&lt;0,0,(0.0152*(AA256^5)-0.131*(AA256^4)+0.4581*(AA256^3)-0.8418*(AA256^2)+0.8536*AA256-0.0046))))</f>
        <v>0</v>
      </c>
      <c r="AR256" s="823">
        <f>U256*AQ256</f>
        <v>0</v>
      </c>
      <c r="AS256" s="842">
        <f>IF(AK256=AF256,MAX(AP256,AR256),IF(AK256=AH256,AP256,AR256))</f>
        <v>0.89718963360000059</v>
      </c>
      <c r="AV256" s="849">
        <f>IF(ISNA(VLOOKUP(I256,'[1]Efficiency Lookup'!$D$2:$G$35,4,FALSE)),0,VLOOKUP(I256,'[1]Efficiency Lookup'!$D$2:$G$35,4,FALSE))</f>
        <v>0.55000000000000004</v>
      </c>
      <c r="AW256" s="848">
        <f>$V256*AV256</f>
        <v>399.41329659660022</v>
      </c>
      <c r="AX256" s="836">
        <f>IF(X256="RR",IF((0.0326*(AA256^5)-0.2806*(AA256^4)+0.9816*(AA256^3)-1.8039*(AA256^2)+1.8292*AA256-0.0098)&gt;0.85,0.85,IF((0.0326*(AA256^5)-0.2806*(AA256^4)+0.9816*(AA256^3)-1.8039*(AA256^2)+1.8292*AA256-0.0098)&lt;0,0,(0.0326*(AA256^5)-0.2806*(AA256^4)+0.9816*(AA256^3)-1.8039*(AA256^2)+1.8292*AA256-0.0098))),IF((0.0304*(AA256^5)-0.2619*(AA256^4)+0.9161*(AA256^3)-1.6837*(AA256^2)+1.7072*AA256-0.0091)&gt;0.8,0.8,IF((0.0304*(AA256^5)-0.2619*(AA256^4)+0.9161*(AA256^3)-1.6837*(AA256^2)+1.7072*AA256-0.0091)&lt;0,0,(0.0304*(AA256^5)-0.2619*(AA256^4)+0.9161*(AA256^3)-1.6837*(AA256^2)+1.7072*AA256-0.0091))))</f>
        <v>0</v>
      </c>
      <c r="AY256" s="974">
        <f>$V256*AX256</f>
        <v>0</v>
      </c>
      <c r="AZ256" s="842">
        <f>IF(AK256=AJ256,AY256,IF(AK256=AH256,AW256,IF(AP256=AR256,MAX(AW256,AY256),IF(AS256=AP256,AW256,AY256))))</f>
        <v>399.41329659660022</v>
      </c>
      <c r="BF256" s="856"/>
    </row>
    <row r="257" spans="1:59" ht="18.600000000000001" customHeight="1" x14ac:dyDescent="0.25">
      <c r="A257" s="11"/>
      <c r="B257" s="11"/>
      <c r="C257" s="11"/>
      <c r="M257" s="11"/>
      <c r="N257" s="11"/>
      <c r="AB257" s="5"/>
      <c r="AW257"/>
    </row>
    <row r="258" spans="1:59" s="880" customFormat="1" ht="15" x14ac:dyDescent="0.25">
      <c r="A258" s="988"/>
      <c r="E258" s="979"/>
      <c r="F258" s="980"/>
      <c r="G258" s="980"/>
      <c r="H258" s="981"/>
      <c r="I258" s="982"/>
      <c r="J258" s="983"/>
      <c r="K258" s="982"/>
      <c r="L258" s="982"/>
      <c r="M258" s="984"/>
      <c r="P258" s="985"/>
      <c r="S258" s="985"/>
      <c r="V258" s="985"/>
      <c r="Y258" s="985"/>
      <c r="Z258" s="986"/>
      <c r="AA258" s="986"/>
      <c r="AB258" s="987"/>
      <c r="AC258" s="986"/>
      <c r="AD258" s="986"/>
      <c r="AE258" s="987"/>
      <c r="AF258" s="986"/>
      <c r="AG258" s="986"/>
      <c r="AH258" s="986"/>
    </row>
    <row r="259" spans="1:59" s="826" customFormat="1" ht="18.600000000000001" customHeight="1" x14ac:dyDescent="0.25">
      <c r="A259" s="814" t="s">
        <v>539</v>
      </c>
      <c r="B259" s="814"/>
      <c r="C259" s="814"/>
      <c r="D259" s="1095" t="s">
        <v>271</v>
      </c>
      <c r="E259" s="1096"/>
      <c r="F259" s="1002"/>
      <c r="G259" s="1002"/>
      <c r="H259" s="815"/>
      <c r="I259" s="815"/>
      <c r="J259" s="1002" t="s">
        <v>348</v>
      </c>
      <c r="K259" s="814">
        <v>4.4000000000000004</v>
      </c>
      <c r="L259" s="814"/>
      <c r="M259" s="814">
        <f>(4181.76+39639.6)/43560</f>
        <v>1.006</v>
      </c>
      <c r="N259" s="814">
        <f>(42688.8+3833.28)/43560</f>
        <v>1.0680000000000001</v>
      </c>
      <c r="O259" s="817">
        <f>+M259/K259</f>
        <v>0.22863636363636361</v>
      </c>
      <c r="P259" s="817">
        <f>+N259/K259</f>
        <v>0.24272727272727271</v>
      </c>
      <c r="Q259" s="818">
        <f>43*0.9*(0.05+0.9*0.16)*0.26*$K259*2.72/12</f>
        <v>1.9468225920000004</v>
      </c>
      <c r="R259" s="819">
        <f>43*0.9*(0.05+0.9*O259)*0.26*$K259*2.72/12</f>
        <v>2.5667222880000007</v>
      </c>
      <c r="S259" s="818">
        <f>IF(J259="R",R259,Q259)</f>
        <v>2.5667222880000007</v>
      </c>
      <c r="T259" s="818">
        <f>43*0.9*(0.05+0.9*P259)*0.26*$K259*2.72/12</f>
        <v>2.6939864640000013</v>
      </c>
      <c r="U259" s="818">
        <f>T259*5.2</f>
        <v>14.008729612800007</v>
      </c>
      <c r="V259" s="818">
        <f>T259*420.9</f>
        <v>1133.8989026976005</v>
      </c>
      <c r="W259" s="818">
        <f>IF(P259 &lt; 16%, 0, IF(K259 &lt; 1, 0, T259-S259))</f>
        <v>0.12726417600000062</v>
      </c>
      <c r="X259" s="824"/>
      <c r="Y259" s="820"/>
      <c r="Z259" s="820"/>
      <c r="AA259" s="834"/>
      <c r="AB259" s="835"/>
      <c r="AC259" s="836"/>
      <c r="AD259" s="823"/>
      <c r="AE259" s="836"/>
      <c r="AF259" s="823"/>
      <c r="AG259" s="836"/>
      <c r="AH259" s="823"/>
      <c r="AI259" s="839"/>
      <c r="AJ259" s="823"/>
      <c r="AK259" s="843" t="str">
        <f>IF(AC259="","",MAX(AD259,AF259,AH259,AJ259))</f>
        <v/>
      </c>
      <c r="AL259" s="823" t="str">
        <f>AK259</f>
        <v/>
      </c>
      <c r="AM259" s="823"/>
      <c r="AN259" s="836"/>
      <c r="AO259" s="849"/>
      <c r="AP259" s="848"/>
      <c r="AQ259" s="836"/>
      <c r="AR259" s="823"/>
      <c r="AS259" s="845"/>
      <c r="AT259" s="823"/>
      <c r="AU259" s="823"/>
      <c r="AV259" s="844"/>
      <c r="AW259" s="823"/>
      <c r="AX259" s="836"/>
      <c r="AY259" s="823"/>
      <c r="AZ259" s="842"/>
      <c r="BA259" s="823"/>
      <c r="BB259" s="823"/>
      <c r="BC259" s="1097">
        <f>AM260</f>
        <v>1.721316402</v>
      </c>
      <c r="BD259" s="1098">
        <f>AU260</f>
        <v>8.3541222710399996</v>
      </c>
      <c r="BE259" s="1098">
        <f>BB260</f>
        <v>772.80221184191998</v>
      </c>
      <c r="BF259" s="828" t="s">
        <v>510</v>
      </c>
    </row>
    <row r="260" spans="1:59" s="826" customFormat="1" ht="18.600000000000001" customHeight="1" x14ac:dyDescent="0.25">
      <c r="A260" s="814"/>
      <c r="B260" s="814">
        <v>-78.433796999999998</v>
      </c>
      <c r="C260" s="814">
        <v>38.127336</v>
      </c>
      <c r="D260" s="846" t="s">
        <v>540</v>
      </c>
      <c r="E260" s="833" t="s">
        <v>331</v>
      </c>
      <c r="F260" s="833"/>
      <c r="G260" s="833"/>
      <c r="H260" s="815" t="s">
        <v>337</v>
      </c>
      <c r="I260" s="815" t="s">
        <v>334</v>
      </c>
      <c r="J260" s="833"/>
      <c r="K260" s="814">
        <v>2.39</v>
      </c>
      <c r="L260" s="814"/>
      <c r="M260" s="814">
        <f>M259</f>
        <v>1.006</v>
      </c>
      <c r="N260" s="814">
        <f>N259</f>
        <v>1.0680000000000001</v>
      </c>
      <c r="O260" s="817">
        <f>+M260/K260</f>
        <v>0.42092050209205017</v>
      </c>
      <c r="P260" s="817">
        <f>+N260/K260</f>
        <v>0.44686192468619246</v>
      </c>
      <c r="Q260" s="818"/>
      <c r="R260" s="818"/>
      <c r="S260" s="818"/>
      <c r="T260" s="818">
        <f>IF(J259="TT",IF(F259="u/g detention",(43*0.9*(0.05+0.9*P260)*0.26*$K260*2.72/12)-AK252,(43*0.9*(0.05+0.9*P260)*0.26*$K260*2.72/12)-AK259),43*0.9*(0.05+0.9*P260)*0.26*$K260*2.72/12)</f>
        <v>2.4647741040000009</v>
      </c>
      <c r="U260" s="818">
        <f>T260*5.2</f>
        <v>12.816825340800005</v>
      </c>
      <c r="V260" s="818">
        <f>T260*420.9</f>
        <v>1037.4234203736003</v>
      </c>
      <c r="W260" s="818"/>
      <c r="X260" s="824"/>
      <c r="Y260" s="820"/>
      <c r="Z260" s="820"/>
      <c r="AA260" s="834"/>
      <c r="AB260" s="835"/>
      <c r="AC260" s="836" t="str">
        <f>IF(G260="filterra",0.5, IF(G260="stormfilter",0.45,IF(B260=0,"","NA")))</f>
        <v>NA</v>
      </c>
      <c r="AD260" s="837">
        <f>IF(AC260="NA",0,IF(AC260="","",T260*AC260))</f>
        <v>0</v>
      </c>
      <c r="AE260" s="836">
        <f>IF(ISNA(VLOOKUP(H260,'Efficiency Lookup'!$B$2:$C$38,2,FALSE)),0,(VLOOKUP(H260,'Efficiency Lookup'!$B$2:$C$38,2,FALSE)))</f>
        <v>0.15</v>
      </c>
      <c r="AF260" s="823">
        <f>T260*AE260</f>
        <v>0.36971611560000012</v>
      </c>
      <c r="AG260" s="847">
        <f>IF(ISNA(VLOOKUP(I260,'Efficiency Lookup'!$D$2:$E$35,2,FALSE)),0,VLOOKUP(I260,'Efficiency Lookup'!$D$2:$E$35,2,FALSE))</f>
        <v>0.75</v>
      </c>
      <c r="AH260" s="848">
        <f>T260*AG260</f>
        <v>1.8485805780000006</v>
      </c>
      <c r="AI260" s="839">
        <f>IF(X260="RR",IF((0.0304*(AA260^5)-0.2619*(AA260^4)+0.9161*(AA260^3)-1.6837*(AA260^2)+1.7072*AA260-0.0091)&gt;0.85,0.85,IF((0.0304*(AA260^5)-0.2619*(AA260^4)+0.9161*(AA260^3)-1.6837*(AA260^2)+1.7072*AA260-0.0091)&lt;0,0,(0.0304*(AA260^5)-0.2619*(AA260^4)+0.9161*(AA260^3)-1.6837*(AA260^2)+1.7072*AA260-0.0091))),IF((0.0239*(AA260^5)-0.2058*(AA260^4)+0.7198*(AA260^3)-1.3229*(AA260^2)+1.3414*AA260-0.0072)&gt;0.65,0.65,IF((0.0239*(AA260^5)-0.2058*(AA260^4)+0.7198*(AA260^3)-1.3229*(AA260^2)+1.3414*AA260-0.0072)&lt;0,0,(0.0239*(AA260^5)-0.2058*(AA260^4)+0.7198*(AA260^3)-1.3229*(AA260^2)+1.3414*AA260-0.0072))))</f>
        <v>0</v>
      </c>
      <c r="AJ260" s="823">
        <f>T260*AI260</f>
        <v>0</v>
      </c>
      <c r="AK260" s="840">
        <f>IF(AC260="","",MAX(AD260,AF260,AH260,AJ260))</f>
        <v>1.8485805780000006</v>
      </c>
      <c r="AL260" s="824">
        <f>AK260</f>
        <v>1.8485805780000006</v>
      </c>
      <c r="AM260" s="848">
        <f>AL260-W259</f>
        <v>1.721316402</v>
      </c>
      <c r="AN260" s="847">
        <f>AM260/AL260</f>
        <v>0.93115573239566918</v>
      </c>
      <c r="AO260" s="849">
        <f>IF(ISNA(VLOOKUP(I260,'Efficiency Lookup'!$D$2:$G$35,3,FALSE)),0,VLOOKUP(I260,'Efficiency Lookup'!$D$2:$G$35,3,FALSE))</f>
        <v>0.7</v>
      </c>
      <c r="AP260" s="848">
        <f>U260*AO260</f>
        <v>8.9717777385600019</v>
      </c>
      <c r="AQ260" s="836">
        <f>IF(X260="RR",IF((0.0308*(AA260^5)-0.2562*(AA260^4)+0.8634*(AA260^3)-1.5285*(AA260^2)+1.501*AA260-0.013)&gt;0.7,0.7,IF((0.0308*(AA260^5)-0.2562*(AA260^4)+0.8634*(AA260^3)-1.5285*(AA260^2)+1.501*AA260-0.013)&lt;0,0,(0.0308*(AA260^5)-0.2562*(AA260^4)+0.8634*(AA260^3)-1.5285*(AA260^2)+1.501*AA260-0.013))),IF((0.0152*(AA260^5)-0.131*(AA260^4)+0.4581*(AA260^3)-0.8418*(AA260^2)+0.8536*AA260-0.0046)&gt;0.65,0.65,IF((0.0152*(AA260^5)-0.131*(AA260^4)+0.4581*(AA260^3)-0.8418*(AA260^2)+0.8536*AA260-0.0046)&lt;0,0,(0.0152*(AA260^5)-0.131*(AA260^4)+0.4581*(AA260^3)-0.8418*(AA260^2)+0.8536*AA260-0.0046))))</f>
        <v>0</v>
      </c>
      <c r="AR260" s="823">
        <f>U260*AQ260</f>
        <v>0</v>
      </c>
      <c r="AS260" s="842">
        <f>IF(AK260=AF260,MAX(AP260,AR260),IF(AK260=AH260,AP260,AR260))</f>
        <v>8.9717777385600019</v>
      </c>
      <c r="AT260" s="848">
        <f>AS260</f>
        <v>8.9717777385600019</v>
      </c>
      <c r="AU260" s="848">
        <f>AT260*AN260</f>
        <v>8.3541222710399996</v>
      </c>
      <c r="AV260" s="849">
        <f>IF(ISNA(VLOOKUP(I260,'Efficiency Lookup'!$D$2:$G$35,4,FALSE)),0,VLOOKUP(I260,'Efficiency Lookup'!$D$2:$G$35,4,FALSE))</f>
        <v>0.8</v>
      </c>
      <c r="AW260" s="848">
        <f>$V260*AV260</f>
        <v>829.93873629888026</v>
      </c>
      <c r="AX260" s="836">
        <f>IF(X260="RR",IF((0.0326*(AA260^5)-0.2806*(AA260^4)+0.9816*(AA260^3)-1.8039*(AA260^2)+1.8292*AA260-0.0098)&gt;0.85,0.85,IF((0.0326*(AA260^5)-0.2806*(AA260^4)+0.9816*(AA260^3)-1.8039*(AA260^2)+1.8292*AA260-0.0098)&lt;0,0,(0.0326*(AA260^5)-0.2806*(AA260^4)+0.9816*(AA260^3)-1.8039*(AA260^2)+1.8292*AA260-0.0098))),IF((0.0304*(AA260^5)-0.2619*(AA260^4)+0.9161*(AA260^3)-1.6837*(AA260^2)+1.7072*AA260-0.0091)&gt;0.8,0.8,IF((0.0304*(AA260^5)-0.2619*(AA260^4)+0.9161*(AA260^3)-1.6837*(AA260^2)+1.7072*AA260-0.0091)&lt;0,0,(0.0304*(AA260^5)-0.2619*(AA260^4)+0.9161*(AA260^3)-1.6837*(AA260^2)+1.7072*AA260-0.0091))))</f>
        <v>0</v>
      </c>
      <c r="AY260" s="823">
        <f>$V260*AX260</f>
        <v>0</v>
      </c>
      <c r="AZ260" s="842">
        <f>IF(AS260=AP260,AW260,AY260)</f>
        <v>829.93873629888026</v>
      </c>
      <c r="BA260" s="848">
        <f>AZ260</f>
        <v>829.93873629888026</v>
      </c>
      <c r="BB260" s="848">
        <f>BA260*AN260</f>
        <v>772.80221184191998</v>
      </c>
      <c r="BC260" s="1097"/>
      <c r="BD260" s="1098"/>
      <c r="BE260" s="1098"/>
      <c r="BF260" s="828"/>
    </row>
    <row r="261" spans="1:59" ht="18.600000000000001" customHeight="1" x14ac:dyDescent="0.25">
      <c r="A261" s="11"/>
      <c r="B261" s="11"/>
      <c r="C261" s="11"/>
      <c r="D261" s="13"/>
      <c r="E261" s="1048"/>
      <c r="F261" s="1048"/>
      <c r="G261" s="1048"/>
      <c r="H261" s="1021"/>
      <c r="I261" s="1021"/>
      <c r="M261" s="11"/>
      <c r="N261" s="11"/>
      <c r="AB261" s="5"/>
      <c r="AC261" s="72"/>
      <c r="AW261"/>
    </row>
    <row r="262" spans="1:59" s="826" customFormat="1" ht="18.600000000000001" customHeight="1" x14ac:dyDescent="0.25">
      <c r="A262" s="814" t="s">
        <v>541</v>
      </c>
      <c r="B262" s="850"/>
      <c r="C262" s="814"/>
      <c r="D262" s="1095" t="s">
        <v>271</v>
      </c>
      <c r="E262" s="1096"/>
      <c r="F262" s="833"/>
      <c r="G262" s="846" t="s">
        <v>143</v>
      </c>
      <c r="H262" s="846" t="s">
        <v>143</v>
      </c>
      <c r="I262" s="846" t="s">
        <v>143</v>
      </c>
      <c r="J262" s="832" t="s">
        <v>348</v>
      </c>
      <c r="K262" s="816">
        <v>2.95</v>
      </c>
      <c r="L262" s="816"/>
      <c r="M262" s="816">
        <v>0</v>
      </c>
      <c r="N262" s="816">
        <v>0</v>
      </c>
      <c r="O262" s="817">
        <f>+M262/K262</f>
        <v>0</v>
      </c>
      <c r="P262" s="817">
        <f>+N262/K262</f>
        <v>0</v>
      </c>
      <c r="Q262" s="854">
        <f>43*0.9*(0.05+0.9*0.16)*0.26*$K262*2.72/12</f>
        <v>1.3052560560000004</v>
      </c>
      <c r="R262" s="854">
        <f>43*0.9*(0.05+0.9*O262)*0.26*$K262*2.72/12</f>
        <v>0.3364062000000001</v>
      </c>
      <c r="S262" s="818">
        <f>IF(J262="R",R262,Q262)</f>
        <v>0.3364062000000001</v>
      </c>
      <c r="T262" s="818">
        <f>43*0.9*(0.05+0.9*P262)*0.26*$K262*2.72/12</f>
        <v>0.3364062000000001</v>
      </c>
      <c r="U262" s="818">
        <f>IF(M262="R",T262,S262)</f>
        <v>0.3364062000000001</v>
      </c>
      <c r="V262" s="818">
        <f>43*0.9*(0.05+0.9*R262)*0.26*$K262*2.72/12</f>
        <v>2.3734505651719213</v>
      </c>
      <c r="W262" s="818">
        <f>IF(P262 &lt; 16%, 0, IF(K262 &lt; 1, 0, T262-S262))</f>
        <v>0</v>
      </c>
      <c r="X262" s="824"/>
      <c r="Y262" s="820"/>
      <c r="Z262" s="820"/>
      <c r="AA262" s="834"/>
      <c r="AB262" s="835"/>
      <c r="AC262" s="836"/>
      <c r="AD262" s="823"/>
      <c r="AE262" s="836"/>
      <c r="AF262" s="823"/>
      <c r="AG262" s="836"/>
      <c r="AH262" s="823"/>
      <c r="AI262" s="839"/>
      <c r="AJ262" s="823"/>
      <c r="AK262" s="843"/>
      <c r="AL262" s="823"/>
      <c r="AM262" s="823"/>
      <c r="AN262" s="836"/>
      <c r="AO262" s="844"/>
      <c r="AP262" s="823"/>
      <c r="AQ262" s="836"/>
      <c r="AR262" s="823"/>
      <c r="AS262" s="845"/>
      <c r="AT262" s="823"/>
      <c r="AU262" s="823"/>
      <c r="AV262" s="844"/>
      <c r="AW262" s="823"/>
      <c r="AX262" s="836"/>
      <c r="AY262" s="823"/>
      <c r="AZ262" s="842"/>
      <c r="BA262" s="823"/>
      <c r="BB262" s="823"/>
      <c r="BC262" s="1003">
        <f>-W262</f>
        <v>0</v>
      </c>
      <c r="BD262" s="1004">
        <f>BC262*5.2</f>
        <v>0</v>
      </c>
      <c r="BE262" s="1004">
        <f>BC262*420.9</f>
        <v>0</v>
      </c>
      <c r="BF262" s="828" t="s">
        <v>510</v>
      </c>
      <c r="BG262" s="855"/>
    </row>
    <row r="263" spans="1:59" ht="18.600000000000001" customHeight="1" x14ac:dyDescent="0.25">
      <c r="A263" s="11"/>
      <c r="B263" s="11"/>
      <c r="C263" s="11"/>
      <c r="M263" s="11"/>
      <c r="N263" s="11"/>
      <c r="AB263" s="5"/>
      <c r="AW263"/>
    </row>
    <row r="264" spans="1:59" ht="18.600000000000001" customHeight="1" x14ac:dyDescent="0.25">
      <c r="A264" s="11"/>
      <c r="B264" s="11"/>
      <c r="C264" s="11"/>
      <c r="AB264" s="5"/>
      <c r="AW264"/>
    </row>
    <row r="265" spans="1:59" ht="18.600000000000001" customHeight="1" x14ac:dyDescent="0.25">
      <c r="A265" s="11"/>
      <c r="B265" s="11"/>
      <c r="C265" s="11"/>
      <c r="AB265" s="5"/>
      <c r="AW265"/>
    </row>
    <row r="266" spans="1:59" ht="18.600000000000001" customHeight="1" x14ac:dyDescent="0.25">
      <c r="A266" s="11"/>
      <c r="B266" s="11"/>
      <c r="C266" s="11"/>
      <c r="AB266" s="5"/>
      <c r="AW266"/>
    </row>
    <row r="267" spans="1:59" ht="18.600000000000001" customHeight="1" x14ac:dyDescent="0.25">
      <c r="A267" s="11"/>
      <c r="B267" s="11"/>
      <c r="C267" s="11"/>
      <c r="AB267" s="5"/>
      <c r="AW267"/>
    </row>
    <row r="268" spans="1:59" ht="18.600000000000001" customHeight="1" x14ac:dyDescent="0.25">
      <c r="A268" s="11"/>
      <c r="B268" s="11"/>
      <c r="C268" s="11"/>
      <c r="AB268" s="5"/>
      <c r="AW268"/>
    </row>
    <row r="269" spans="1:59" ht="18.600000000000001" customHeight="1" x14ac:dyDescent="0.25">
      <c r="A269" s="11"/>
      <c r="B269" s="11"/>
      <c r="C269" s="11"/>
      <c r="AB269" s="5"/>
      <c r="AW269"/>
    </row>
    <row r="270" spans="1:59" ht="18.600000000000001" customHeight="1" x14ac:dyDescent="0.25">
      <c r="A270" s="11"/>
      <c r="B270" s="11"/>
      <c r="C270" s="11"/>
      <c r="AB270" s="5"/>
      <c r="AW270"/>
    </row>
    <row r="271" spans="1:59" ht="18.600000000000001" customHeight="1" x14ac:dyDescent="0.25">
      <c r="A271" s="11"/>
      <c r="B271" s="11"/>
      <c r="C271" s="11"/>
      <c r="AB271" s="5"/>
      <c r="AW271"/>
    </row>
    <row r="272" spans="1:59" ht="18.600000000000001" customHeight="1" x14ac:dyDescent="0.25">
      <c r="A272" s="11"/>
      <c r="B272" s="11"/>
      <c r="C272" s="11"/>
      <c r="AB272" s="5"/>
      <c r="AW272"/>
    </row>
    <row r="273" spans="1:49" ht="18.600000000000001" customHeight="1" x14ac:dyDescent="0.25">
      <c r="A273" s="11"/>
      <c r="B273" s="11"/>
      <c r="C273" s="11"/>
      <c r="AB273" s="5"/>
      <c r="AW273"/>
    </row>
    <row r="274" spans="1:49" ht="18.600000000000001" customHeight="1" x14ac:dyDescent="0.25">
      <c r="A274" s="11"/>
      <c r="B274" s="11"/>
      <c r="C274" s="11"/>
      <c r="AB274" s="5"/>
      <c r="AW274"/>
    </row>
    <row r="275" spans="1:49" ht="18.600000000000001" customHeight="1" x14ac:dyDescent="0.25">
      <c r="A275" s="11"/>
      <c r="B275" s="11"/>
      <c r="C275" s="11"/>
      <c r="AB275" s="5"/>
      <c r="AW275"/>
    </row>
    <row r="276" spans="1:49" ht="18.600000000000001" customHeight="1" x14ac:dyDescent="0.25">
      <c r="A276" s="11"/>
      <c r="B276" s="11"/>
      <c r="C276" s="11"/>
      <c r="AB276" s="5"/>
      <c r="AW276"/>
    </row>
    <row r="277" spans="1:49" ht="18.600000000000001" customHeight="1" x14ac:dyDescent="0.25">
      <c r="A277" s="11"/>
      <c r="B277" s="11"/>
      <c r="C277" s="11"/>
      <c r="AB277" s="5"/>
      <c r="AW277"/>
    </row>
    <row r="278" spans="1:49" ht="18.600000000000001" customHeight="1" x14ac:dyDescent="0.25">
      <c r="A278" s="11"/>
      <c r="B278" s="11"/>
      <c r="C278" s="11"/>
      <c r="AB278" s="5"/>
      <c r="AW278"/>
    </row>
    <row r="279" spans="1:49" ht="18.600000000000001" customHeight="1" x14ac:dyDescent="0.25">
      <c r="A279" s="11"/>
      <c r="B279" s="11"/>
      <c r="C279" s="11"/>
      <c r="AB279" s="5"/>
      <c r="AW279"/>
    </row>
    <row r="280" spans="1:49" ht="18.600000000000001" customHeight="1" x14ac:dyDescent="0.25">
      <c r="A280" s="11"/>
      <c r="B280" s="11"/>
      <c r="C280" s="11"/>
      <c r="AB280" s="5"/>
      <c r="AW280"/>
    </row>
    <row r="281" spans="1:49" ht="18.600000000000001" customHeight="1" x14ac:dyDescent="0.25">
      <c r="A281" s="11"/>
      <c r="B281" s="11"/>
      <c r="C281" s="11"/>
      <c r="AB281" s="5"/>
      <c r="AW281"/>
    </row>
    <row r="282" spans="1:49" ht="18.600000000000001" customHeight="1" x14ac:dyDescent="0.25">
      <c r="A282" s="11"/>
      <c r="B282" s="11"/>
      <c r="C282" s="11"/>
      <c r="AB282" s="5"/>
      <c r="AW282"/>
    </row>
    <row r="283" spans="1:49" ht="18.600000000000001" customHeight="1" x14ac:dyDescent="0.25">
      <c r="A283" s="11"/>
      <c r="B283" s="11"/>
      <c r="C283" s="11"/>
      <c r="AB283" s="5"/>
      <c r="AW283"/>
    </row>
    <row r="284" spans="1:49" ht="18.600000000000001" customHeight="1" x14ac:dyDescent="0.25">
      <c r="A284" s="11"/>
      <c r="B284" s="11"/>
      <c r="C284" s="11"/>
      <c r="AB284" s="5"/>
      <c r="AW284"/>
    </row>
    <row r="285" spans="1:49" ht="18.600000000000001" customHeight="1" x14ac:dyDescent="0.25">
      <c r="A285" s="11"/>
      <c r="B285" s="11"/>
      <c r="C285" s="11"/>
      <c r="AB285" s="5"/>
      <c r="AW285"/>
    </row>
    <row r="286" spans="1:49" ht="18.600000000000001" customHeight="1" x14ac:dyDescent="0.25">
      <c r="A286" s="11"/>
      <c r="B286" s="11"/>
      <c r="C286" s="11"/>
      <c r="AB286" s="5"/>
      <c r="AW286"/>
    </row>
    <row r="287" spans="1:49" ht="18.600000000000001" customHeight="1" x14ac:dyDescent="0.25">
      <c r="A287" s="11"/>
      <c r="B287" s="11"/>
      <c r="C287" s="11"/>
      <c r="AB287" s="5"/>
      <c r="AW287"/>
    </row>
    <row r="288" spans="1:49" ht="18.600000000000001" customHeight="1" x14ac:dyDescent="0.25">
      <c r="A288" s="11"/>
      <c r="B288" s="11"/>
      <c r="C288" s="11"/>
      <c r="AB288" s="5"/>
      <c r="AW288"/>
    </row>
    <row r="289" spans="1:49" ht="18.600000000000001" customHeight="1" x14ac:dyDescent="0.25">
      <c r="A289" s="11"/>
      <c r="B289" s="11"/>
      <c r="C289" s="11"/>
      <c r="AB289" s="5"/>
      <c r="AW289"/>
    </row>
    <row r="290" spans="1:49" ht="18.600000000000001" customHeight="1" x14ac:dyDescent="0.25">
      <c r="A290" s="11"/>
      <c r="B290" s="11"/>
      <c r="C290" s="11"/>
      <c r="AB290" s="5"/>
      <c r="AW290"/>
    </row>
    <row r="291" spans="1:49" ht="18.600000000000001" customHeight="1" x14ac:dyDescent="0.25">
      <c r="A291" s="11"/>
      <c r="B291" s="11"/>
      <c r="C291" s="11"/>
      <c r="AB291" s="5"/>
      <c r="AW291"/>
    </row>
    <row r="292" spans="1:49" ht="18.600000000000001" customHeight="1" x14ac:dyDescent="0.25">
      <c r="A292" s="11"/>
      <c r="B292" s="11"/>
      <c r="C292" s="11"/>
      <c r="AB292" s="5"/>
      <c r="AW292"/>
    </row>
    <row r="293" spans="1:49" ht="18.600000000000001" customHeight="1" x14ac:dyDescent="0.25">
      <c r="A293" s="11"/>
      <c r="B293" s="11"/>
      <c r="C293" s="11"/>
      <c r="AB293" s="5"/>
      <c r="AW293"/>
    </row>
    <row r="294" spans="1:49" ht="18.600000000000001" customHeight="1" x14ac:dyDescent="0.25">
      <c r="A294" s="11"/>
      <c r="B294" s="11"/>
      <c r="C294" s="11"/>
      <c r="AB294" s="5"/>
      <c r="AW294"/>
    </row>
    <row r="295" spans="1:49" ht="18.600000000000001" customHeight="1" x14ac:dyDescent="0.25">
      <c r="A295" s="11"/>
      <c r="B295" s="11"/>
      <c r="C295" s="11"/>
      <c r="AB295" s="5"/>
      <c r="AW295"/>
    </row>
    <row r="296" spans="1:49" ht="18.600000000000001" customHeight="1" x14ac:dyDescent="0.25">
      <c r="A296" s="11"/>
      <c r="B296" s="11"/>
      <c r="C296" s="11"/>
      <c r="AB296" s="5"/>
      <c r="AW296"/>
    </row>
    <row r="297" spans="1:49" ht="18.600000000000001" customHeight="1" x14ac:dyDescent="0.25">
      <c r="A297" s="11"/>
      <c r="B297" s="11"/>
      <c r="C297" s="11"/>
      <c r="AB297" s="5"/>
      <c r="AW297"/>
    </row>
    <row r="298" spans="1:49" ht="18.600000000000001" customHeight="1" x14ac:dyDescent="0.25">
      <c r="A298" s="11"/>
      <c r="B298" s="11"/>
      <c r="C298" s="11"/>
      <c r="AB298" s="5"/>
      <c r="AW298"/>
    </row>
    <row r="299" spans="1:49" ht="18.600000000000001" customHeight="1" x14ac:dyDescent="0.25">
      <c r="A299" s="11"/>
      <c r="B299" s="11"/>
      <c r="C299" s="11"/>
      <c r="AB299" s="5"/>
      <c r="AW299"/>
    </row>
    <row r="300" spans="1:49" ht="18.600000000000001" customHeight="1" x14ac:dyDescent="0.25">
      <c r="A300" s="11"/>
      <c r="B300" s="11"/>
      <c r="C300" s="11"/>
      <c r="AB300" s="5"/>
      <c r="AW300"/>
    </row>
    <row r="301" spans="1:49" ht="18.600000000000001" customHeight="1" x14ac:dyDescent="0.25">
      <c r="A301" s="11"/>
      <c r="B301" s="11"/>
      <c r="C301" s="11"/>
      <c r="AB301" s="5"/>
      <c r="AW301"/>
    </row>
    <row r="302" spans="1:49" ht="18.600000000000001" customHeight="1" x14ac:dyDescent="0.25">
      <c r="A302" s="11"/>
      <c r="B302" s="11"/>
      <c r="C302" s="11"/>
      <c r="AB302" s="5"/>
      <c r="AW302"/>
    </row>
    <row r="303" spans="1:49" ht="18.600000000000001" customHeight="1" x14ac:dyDescent="0.25">
      <c r="A303" s="11"/>
      <c r="B303" s="11"/>
      <c r="C303" s="11"/>
      <c r="AB303" s="5"/>
      <c r="AW303"/>
    </row>
    <row r="304" spans="1:49" ht="18.600000000000001" customHeight="1" x14ac:dyDescent="0.25">
      <c r="A304" s="11"/>
      <c r="B304" s="11"/>
      <c r="C304" s="11"/>
      <c r="AB304" s="5"/>
      <c r="AW304"/>
    </row>
    <row r="305" spans="1:49" ht="18.600000000000001" customHeight="1" x14ac:dyDescent="0.25">
      <c r="A305" s="11"/>
      <c r="B305" s="11"/>
      <c r="C305" s="11"/>
      <c r="AB305" s="5"/>
      <c r="AW305"/>
    </row>
    <row r="306" spans="1:49" ht="18.600000000000001" customHeight="1" x14ac:dyDescent="0.25">
      <c r="A306" s="11"/>
      <c r="B306" s="11"/>
      <c r="C306" s="11"/>
      <c r="AB306" s="5"/>
      <c r="AW306"/>
    </row>
    <row r="307" spans="1:49" ht="18.600000000000001" customHeight="1" x14ac:dyDescent="0.25">
      <c r="A307" s="11"/>
      <c r="B307" s="11"/>
      <c r="C307" s="11"/>
      <c r="AB307" s="5"/>
      <c r="AW307"/>
    </row>
    <row r="308" spans="1:49" ht="18.600000000000001" customHeight="1" x14ac:dyDescent="0.25">
      <c r="A308" s="11"/>
      <c r="B308" s="11"/>
      <c r="C308" s="11"/>
      <c r="AB308" s="5"/>
      <c r="AW308"/>
    </row>
    <row r="309" spans="1:49" ht="18.600000000000001" customHeight="1" x14ac:dyDescent="0.25">
      <c r="A309" s="11"/>
      <c r="B309" s="11"/>
      <c r="C309" s="11"/>
      <c r="AB309" s="5"/>
      <c r="AW309"/>
    </row>
    <row r="310" spans="1:49" ht="18.600000000000001" customHeight="1" x14ac:dyDescent="0.25">
      <c r="A310" s="11"/>
      <c r="B310" s="11"/>
      <c r="C310" s="11"/>
      <c r="AB310" s="5"/>
      <c r="AW310"/>
    </row>
    <row r="311" spans="1:49" ht="18.600000000000001" customHeight="1" x14ac:dyDescent="0.25">
      <c r="A311" s="11"/>
      <c r="B311" s="11"/>
      <c r="C311" s="11"/>
      <c r="AB311" s="5"/>
      <c r="AW311"/>
    </row>
    <row r="312" spans="1:49" ht="18.600000000000001" customHeight="1" x14ac:dyDescent="0.25">
      <c r="A312" s="11"/>
      <c r="B312" s="11"/>
      <c r="C312" s="11"/>
      <c r="AB312" s="5"/>
      <c r="AW312"/>
    </row>
    <row r="313" spans="1:49" ht="18.600000000000001" customHeight="1" x14ac:dyDescent="0.25">
      <c r="A313" s="11"/>
      <c r="B313" s="11"/>
      <c r="C313" s="11"/>
      <c r="AB313" s="5"/>
      <c r="AW313"/>
    </row>
    <row r="314" spans="1:49" ht="18.600000000000001" customHeight="1" x14ac:dyDescent="0.25">
      <c r="A314" s="11"/>
      <c r="B314" s="11"/>
      <c r="C314" s="11"/>
      <c r="AB314" s="5"/>
      <c r="AW314"/>
    </row>
    <row r="315" spans="1:49" ht="18.600000000000001" customHeight="1" x14ac:dyDescent="0.25">
      <c r="A315" s="11"/>
      <c r="B315" s="11"/>
      <c r="C315" s="11"/>
      <c r="AB315" s="5"/>
      <c r="AW315"/>
    </row>
    <row r="316" spans="1:49" ht="18.600000000000001" customHeight="1" x14ac:dyDescent="0.25">
      <c r="A316" s="11"/>
      <c r="B316" s="11"/>
      <c r="C316" s="11"/>
      <c r="AB316" s="5"/>
      <c r="AW316"/>
    </row>
    <row r="317" spans="1:49" ht="18.600000000000001" customHeight="1" x14ac:dyDescent="0.25">
      <c r="A317" s="11"/>
      <c r="B317" s="11"/>
      <c r="C317" s="11"/>
      <c r="AB317" s="5"/>
      <c r="AW317"/>
    </row>
    <row r="318" spans="1:49" ht="18.600000000000001" customHeight="1" x14ac:dyDescent="0.25">
      <c r="A318" s="11"/>
      <c r="B318" s="11"/>
      <c r="C318" s="11"/>
      <c r="AB318" s="5"/>
      <c r="AW318"/>
    </row>
    <row r="319" spans="1:49" ht="18.600000000000001" customHeight="1" x14ac:dyDescent="0.25">
      <c r="A319" s="11"/>
      <c r="B319" s="11"/>
      <c r="C319" s="11"/>
      <c r="AB319" s="5"/>
      <c r="AW319"/>
    </row>
    <row r="320" spans="1:49" ht="18.600000000000001" customHeight="1" x14ac:dyDescent="0.25">
      <c r="A320" s="11"/>
      <c r="B320" s="11"/>
      <c r="C320" s="11"/>
      <c r="AB320" s="5"/>
      <c r="AW320"/>
    </row>
    <row r="321" spans="1:49" ht="18.600000000000001" customHeight="1" x14ac:dyDescent="0.25">
      <c r="A321" s="11"/>
      <c r="B321" s="11"/>
      <c r="C321" s="11"/>
      <c r="AB321" s="5"/>
      <c r="AW321"/>
    </row>
    <row r="322" spans="1:49" ht="18.600000000000001" customHeight="1" x14ac:dyDescent="0.25">
      <c r="A322" s="11"/>
      <c r="B322" s="11"/>
      <c r="C322" s="11"/>
      <c r="AB322" s="5"/>
      <c r="AW322"/>
    </row>
    <row r="323" spans="1:49" ht="18.600000000000001" customHeight="1" x14ac:dyDescent="0.25">
      <c r="A323" s="11"/>
      <c r="B323" s="11"/>
      <c r="C323" s="11"/>
      <c r="AB323" s="5"/>
      <c r="AW323"/>
    </row>
    <row r="324" spans="1:49" ht="18.600000000000001" customHeight="1" x14ac:dyDescent="0.25">
      <c r="A324" s="11"/>
      <c r="B324" s="11"/>
      <c r="C324" s="11"/>
      <c r="AB324" s="5"/>
      <c r="AW324"/>
    </row>
    <row r="325" spans="1:49" ht="18.600000000000001" customHeight="1" x14ac:dyDescent="0.25">
      <c r="A325" s="11"/>
      <c r="B325" s="11"/>
      <c r="C325" s="11"/>
      <c r="AB325" s="5"/>
      <c r="AW325"/>
    </row>
    <row r="326" spans="1:49" ht="18.600000000000001" customHeight="1" x14ac:dyDescent="0.25">
      <c r="A326" s="11"/>
      <c r="B326" s="11"/>
      <c r="C326" s="11"/>
      <c r="AB326" s="5"/>
      <c r="AW326"/>
    </row>
    <row r="327" spans="1:49" ht="18.600000000000001" customHeight="1" x14ac:dyDescent="0.25">
      <c r="A327" s="11"/>
      <c r="B327" s="11"/>
      <c r="C327" s="11"/>
      <c r="AB327" s="5"/>
      <c r="AW327"/>
    </row>
    <row r="328" spans="1:49" ht="18.600000000000001" customHeight="1" x14ac:dyDescent="0.25">
      <c r="B328" s="11"/>
      <c r="C328" s="11"/>
      <c r="AB328" s="5"/>
      <c r="AW328"/>
    </row>
    <row r="329" spans="1:49" ht="18.600000000000001" customHeight="1" x14ac:dyDescent="0.25">
      <c r="B329" s="11"/>
      <c r="C329" s="11"/>
      <c r="AB329" s="5"/>
      <c r="AW329"/>
    </row>
    <row r="330" spans="1:49" ht="18.600000000000001" customHeight="1" x14ac:dyDescent="0.25">
      <c r="B330" s="11"/>
      <c r="C330" s="11"/>
      <c r="AB330" s="5"/>
      <c r="AW330"/>
    </row>
    <row r="331" spans="1:49" ht="18.600000000000001" customHeight="1" x14ac:dyDescent="0.25">
      <c r="B331" s="11"/>
      <c r="C331" s="11"/>
      <c r="AB331" s="5"/>
      <c r="AW331"/>
    </row>
    <row r="332" spans="1:49" ht="18.600000000000001" customHeight="1" x14ac:dyDescent="0.25">
      <c r="B332" s="11"/>
      <c r="C332" s="11"/>
      <c r="AB332" s="5"/>
      <c r="AW332"/>
    </row>
    <row r="333" spans="1:49" ht="18.600000000000001" customHeight="1" x14ac:dyDescent="0.25">
      <c r="B333" s="11"/>
      <c r="C333" s="11"/>
      <c r="AB333" s="5"/>
      <c r="AW333"/>
    </row>
    <row r="334" spans="1:49" ht="18.600000000000001" customHeight="1" x14ac:dyDescent="0.25">
      <c r="B334" s="11"/>
      <c r="C334" s="11"/>
      <c r="AB334" s="5"/>
      <c r="AW334"/>
    </row>
    <row r="335" spans="1:49" ht="18.600000000000001" customHeight="1" x14ac:dyDescent="0.25">
      <c r="B335" s="11"/>
      <c r="C335" s="11"/>
      <c r="AB335" s="5"/>
      <c r="AW335"/>
    </row>
    <row r="336" spans="1:49" ht="18.600000000000001" customHeight="1" x14ac:dyDescent="0.25">
      <c r="B336" s="11"/>
      <c r="C336" s="11"/>
      <c r="AB336" s="5"/>
      <c r="AW336"/>
    </row>
    <row r="337" spans="2:49" ht="18.600000000000001" customHeight="1" x14ac:dyDescent="0.25">
      <c r="B337" s="11"/>
      <c r="C337" s="11"/>
      <c r="AB337" s="5"/>
      <c r="AW337"/>
    </row>
    <row r="338" spans="2:49" ht="18.600000000000001" customHeight="1" x14ac:dyDescent="0.25">
      <c r="B338" s="11"/>
      <c r="C338" s="11"/>
      <c r="AB338" s="5"/>
      <c r="AW338"/>
    </row>
    <row r="339" spans="2:49" ht="18.600000000000001" customHeight="1" x14ac:dyDescent="0.25">
      <c r="B339" s="11"/>
      <c r="C339" s="11"/>
      <c r="AB339" s="5"/>
      <c r="AW339"/>
    </row>
    <row r="340" spans="2:49" ht="18.600000000000001" customHeight="1" x14ac:dyDescent="0.25">
      <c r="B340" s="11"/>
      <c r="C340" s="11"/>
      <c r="AB340" s="5"/>
      <c r="AW340"/>
    </row>
    <row r="341" spans="2:49" ht="18.600000000000001" customHeight="1" x14ac:dyDescent="0.25">
      <c r="B341" s="11"/>
      <c r="C341" s="11"/>
      <c r="AB341" s="5"/>
      <c r="AW341"/>
    </row>
    <row r="342" spans="2:49" ht="18.600000000000001" customHeight="1" x14ac:dyDescent="0.25">
      <c r="B342" s="11"/>
      <c r="C342" s="11"/>
      <c r="AB342" s="5"/>
      <c r="AW342"/>
    </row>
    <row r="343" spans="2:49" ht="18.600000000000001" customHeight="1" x14ac:dyDescent="0.25">
      <c r="B343" s="11"/>
      <c r="C343" s="11"/>
      <c r="AB343" s="5"/>
      <c r="AW343"/>
    </row>
    <row r="344" spans="2:49" ht="18.600000000000001" customHeight="1" x14ac:dyDescent="0.25">
      <c r="B344" s="11"/>
      <c r="C344" s="11"/>
      <c r="AB344" s="5"/>
      <c r="AW344"/>
    </row>
    <row r="345" spans="2:49" ht="18.600000000000001" customHeight="1" x14ac:dyDescent="0.25">
      <c r="B345" s="11"/>
      <c r="C345" s="11"/>
      <c r="AB345" s="5"/>
      <c r="AW345"/>
    </row>
    <row r="346" spans="2:49" ht="18.600000000000001" customHeight="1" x14ac:dyDescent="0.25">
      <c r="B346" s="11"/>
      <c r="C346" s="11"/>
      <c r="AB346" s="5"/>
      <c r="AW346"/>
    </row>
    <row r="347" spans="2:49" ht="18.600000000000001" customHeight="1" x14ac:dyDescent="0.25">
      <c r="B347" s="11"/>
      <c r="C347" s="11"/>
      <c r="AB347" s="5"/>
      <c r="AW347"/>
    </row>
    <row r="348" spans="2:49" ht="18.600000000000001" customHeight="1" x14ac:dyDescent="0.25">
      <c r="B348" s="11"/>
      <c r="C348" s="11"/>
      <c r="AB348" s="5"/>
      <c r="AW348"/>
    </row>
    <row r="349" spans="2:49" ht="18.600000000000001" customHeight="1" x14ac:dyDescent="0.25">
      <c r="B349" s="11"/>
      <c r="C349" s="11"/>
      <c r="AB349" s="5"/>
      <c r="AW349"/>
    </row>
    <row r="350" spans="2:49" ht="18.600000000000001" customHeight="1" x14ac:dyDescent="0.25">
      <c r="B350" s="11"/>
      <c r="C350" s="11"/>
      <c r="AB350" s="5"/>
      <c r="AW350"/>
    </row>
    <row r="351" spans="2:49" ht="18.600000000000001" customHeight="1" x14ac:dyDescent="0.25">
      <c r="B351" s="11"/>
      <c r="C351" s="11"/>
      <c r="AB351" s="5"/>
      <c r="AW351"/>
    </row>
    <row r="352" spans="2:49" ht="18.600000000000001" customHeight="1" x14ac:dyDescent="0.25">
      <c r="B352" s="11"/>
      <c r="C352" s="11"/>
      <c r="AB352" s="5"/>
      <c r="AW352"/>
    </row>
    <row r="353" spans="2:49" ht="18.600000000000001" customHeight="1" x14ac:dyDescent="0.25">
      <c r="B353" s="11"/>
      <c r="C353" s="11"/>
      <c r="AB353" s="5"/>
      <c r="AW353"/>
    </row>
    <row r="354" spans="2:49" ht="18.600000000000001" customHeight="1" x14ac:dyDescent="0.25">
      <c r="B354" s="11"/>
      <c r="C354" s="11"/>
      <c r="AB354" s="5"/>
      <c r="AW354"/>
    </row>
    <row r="355" spans="2:49" ht="18.600000000000001" customHeight="1" x14ac:dyDescent="0.25">
      <c r="B355" s="11"/>
      <c r="C355" s="11"/>
      <c r="AB355" s="5"/>
      <c r="AW355"/>
    </row>
    <row r="356" spans="2:49" ht="18.600000000000001" customHeight="1" x14ac:dyDescent="0.25">
      <c r="B356" s="11"/>
      <c r="C356" s="11"/>
      <c r="AB356" s="5"/>
      <c r="AW356"/>
    </row>
    <row r="357" spans="2:49" ht="18.600000000000001" customHeight="1" x14ac:dyDescent="0.25">
      <c r="B357" s="11"/>
      <c r="C357" s="11"/>
      <c r="AB357" s="5"/>
      <c r="AW357"/>
    </row>
    <row r="358" spans="2:49" ht="18.600000000000001" customHeight="1" x14ac:dyDescent="0.25">
      <c r="B358" s="11"/>
      <c r="C358" s="11"/>
      <c r="AB358" s="5"/>
      <c r="AW358"/>
    </row>
    <row r="359" spans="2:49" ht="18.600000000000001" customHeight="1" x14ac:dyDescent="0.25">
      <c r="B359" s="11"/>
      <c r="C359" s="11"/>
      <c r="AB359" s="5"/>
      <c r="AW359"/>
    </row>
    <row r="360" spans="2:49" ht="18.600000000000001" customHeight="1" x14ac:dyDescent="0.25">
      <c r="B360" s="11"/>
      <c r="C360" s="11"/>
      <c r="AB360" s="5"/>
      <c r="AW360"/>
    </row>
    <row r="361" spans="2:49" ht="18.600000000000001" customHeight="1" x14ac:dyDescent="0.25">
      <c r="B361" s="11"/>
      <c r="C361" s="11"/>
      <c r="AB361" s="5"/>
      <c r="AW361"/>
    </row>
    <row r="362" spans="2:49" ht="18.600000000000001" customHeight="1" x14ac:dyDescent="0.25">
      <c r="B362" s="11"/>
      <c r="C362" s="11"/>
      <c r="AB362" s="5"/>
      <c r="AW362"/>
    </row>
    <row r="363" spans="2:49" ht="18.600000000000001" customHeight="1" x14ac:dyDescent="0.25">
      <c r="B363" s="11"/>
      <c r="C363" s="11"/>
      <c r="AB363" s="5"/>
      <c r="AW363"/>
    </row>
    <row r="364" spans="2:49" ht="18.600000000000001" customHeight="1" x14ac:dyDescent="0.25">
      <c r="B364" s="11"/>
      <c r="C364" s="11"/>
      <c r="AB364" s="5"/>
      <c r="AW364"/>
    </row>
    <row r="365" spans="2:49" ht="18.600000000000001" customHeight="1" x14ac:dyDescent="0.25">
      <c r="B365" s="11"/>
      <c r="C365" s="11"/>
      <c r="AB365" s="5"/>
      <c r="AW365"/>
    </row>
    <row r="366" spans="2:49" ht="18.600000000000001" customHeight="1" x14ac:dyDescent="0.25">
      <c r="B366" s="11"/>
      <c r="C366" s="11"/>
      <c r="AB366" s="5"/>
      <c r="AW366"/>
    </row>
    <row r="367" spans="2:49" ht="18.600000000000001" customHeight="1" x14ac:dyDescent="0.25">
      <c r="B367" s="11"/>
      <c r="C367" s="11"/>
      <c r="AB367" s="5"/>
      <c r="AW367"/>
    </row>
    <row r="368" spans="2:49" ht="18.600000000000001" customHeight="1" x14ac:dyDescent="0.25">
      <c r="B368" s="11"/>
      <c r="C368" s="11"/>
      <c r="AB368" s="5"/>
      <c r="AW368"/>
    </row>
    <row r="369" spans="2:49" ht="18.600000000000001" customHeight="1" x14ac:dyDescent="0.25">
      <c r="B369" s="11"/>
      <c r="C369" s="11"/>
      <c r="AB369" s="5"/>
      <c r="AW369"/>
    </row>
    <row r="370" spans="2:49" ht="18.600000000000001" customHeight="1" x14ac:dyDescent="0.25">
      <c r="B370" s="11"/>
      <c r="C370" s="11"/>
      <c r="AB370" s="5"/>
      <c r="AW370"/>
    </row>
    <row r="371" spans="2:49" ht="18.600000000000001" customHeight="1" x14ac:dyDescent="0.25">
      <c r="B371" s="11"/>
      <c r="C371" s="11"/>
      <c r="AB371" s="5"/>
      <c r="AW371"/>
    </row>
    <row r="372" spans="2:49" ht="18.600000000000001" customHeight="1" x14ac:dyDescent="0.25">
      <c r="B372" s="11"/>
      <c r="C372" s="11"/>
      <c r="AB372" s="5"/>
      <c r="AW372"/>
    </row>
    <row r="373" spans="2:49" ht="18.600000000000001" customHeight="1" x14ac:dyDescent="0.25">
      <c r="B373" s="11"/>
      <c r="C373" s="11"/>
      <c r="AB373" s="5"/>
      <c r="AW373"/>
    </row>
    <row r="374" spans="2:49" ht="18.600000000000001" customHeight="1" x14ac:dyDescent="0.25">
      <c r="B374" s="11"/>
      <c r="C374" s="11"/>
      <c r="AB374" s="5"/>
      <c r="AW374"/>
    </row>
    <row r="375" spans="2:49" ht="18.600000000000001" customHeight="1" x14ac:dyDescent="0.25">
      <c r="B375" s="11"/>
      <c r="C375" s="11"/>
      <c r="AB375" s="5"/>
      <c r="AW375"/>
    </row>
    <row r="376" spans="2:49" ht="18.600000000000001" customHeight="1" x14ac:dyDescent="0.25">
      <c r="B376" s="11"/>
      <c r="C376" s="11"/>
      <c r="AB376" s="5"/>
      <c r="AW376"/>
    </row>
    <row r="377" spans="2:49" ht="18.600000000000001" customHeight="1" x14ac:dyDescent="0.25">
      <c r="B377" s="11"/>
      <c r="C377" s="11"/>
      <c r="AB377" s="5"/>
      <c r="AW377"/>
    </row>
    <row r="378" spans="2:49" ht="18.600000000000001" customHeight="1" x14ac:dyDescent="0.25">
      <c r="B378" s="11"/>
      <c r="C378" s="11"/>
      <c r="AB378" s="5"/>
      <c r="AW378"/>
    </row>
    <row r="379" spans="2:49" ht="18.600000000000001" customHeight="1" x14ac:dyDescent="0.25">
      <c r="B379" s="11"/>
      <c r="C379" s="11"/>
      <c r="AB379" s="5"/>
      <c r="AW379"/>
    </row>
    <row r="380" spans="2:49" ht="18.600000000000001" customHeight="1" x14ac:dyDescent="0.25">
      <c r="B380" s="11"/>
      <c r="C380" s="11"/>
      <c r="AB380" s="5"/>
      <c r="AW380"/>
    </row>
    <row r="381" spans="2:49" ht="18.600000000000001" customHeight="1" x14ac:dyDescent="0.25">
      <c r="B381" s="11"/>
      <c r="C381" s="11"/>
      <c r="AB381" s="5"/>
      <c r="AW381"/>
    </row>
    <row r="382" spans="2:49" ht="18.600000000000001" customHeight="1" x14ac:dyDescent="0.25">
      <c r="B382" s="11"/>
      <c r="C382" s="11"/>
      <c r="AB382" s="5"/>
      <c r="AW382"/>
    </row>
    <row r="383" spans="2:49" ht="18.600000000000001" customHeight="1" x14ac:dyDescent="0.25">
      <c r="B383" s="11"/>
      <c r="C383" s="11"/>
      <c r="AB383" s="5"/>
      <c r="AW383"/>
    </row>
    <row r="384" spans="2:49" ht="18.600000000000001" customHeight="1" x14ac:dyDescent="0.25">
      <c r="B384" s="11"/>
      <c r="C384" s="11"/>
      <c r="AB384" s="5"/>
      <c r="AW384"/>
    </row>
    <row r="385" spans="2:49" ht="18.600000000000001" customHeight="1" x14ac:dyDescent="0.25">
      <c r="B385" s="11"/>
      <c r="C385" s="11"/>
      <c r="AB385" s="5"/>
      <c r="AW385"/>
    </row>
    <row r="386" spans="2:49" ht="18.600000000000001" customHeight="1" x14ac:dyDescent="0.25">
      <c r="B386" s="11"/>
      <c r="C386" s="11"/>
      <c r="AB386" s="5"/>
      <c r="AW386"/>
    </row>
    <row r="387" spans="2:49" ht="18.600000000000001" customHeight="1" x14ac:dyDescent="0.25">
      <c r="B387" s="11"/>
      <c r="C387" s="11"/>
      <c r="AB387" s="5"/>
      <c r="AW387"/>
    </row>
    <row r="388" spans="2:49" ht="18.600000000000001" customHeight="1" x14ac:dyDescent="0.25">
      <c r="B388" s="11"/>
      <c r="C388" s="11"/>
      <c r="AB388" s="5"/>
      <c r="AW388"/>
    </row>
    <row r="389" spans="2:49" ht="18.600000000000001" customHeight="1" x14ac:dyDescent="0.25">
      <c r="B389" s="11"/>
      <c r="C389" s="11"/>
      <c r="AB389" s="5"/>
      <c r="AW389"/>
    </row>
    <row r="390" spans="2:49" ht="18.600000000000001" customHeight="1" x14ac:dyDescent="0.25">
      <c r="B390" s="11"/>
      <c r="C390" s="11"/>
      <c r="AB390" s="5"/>
      <c r="AW390"/>
    </row>
    <row r="391" spans="2:49" ht="18.600000000000001" customHeight="1" x14ac:dyDescent="0.25">
      <c r="B391" s="11"/>
      <c r="C391" s="11"/>
      <c r="AB391" s="5"/>
      <c r="AW391"/>
    </row>
    <row r="392" spans="2:49" ht="18.600000000000001" customHeight="1" x14ac:dyDescent="0.25">
      <c r="B392" s="11"/>
      <c r="C392" s="11"/>
      <c r="AB392" s="5"/>
      <c r="AW392"/>
    </row>
    <row r="393" spans="2:49" ht="18.600000000000001" customHeight="1" x14ac:dyDescent="0.25">
      <c r="B393" s="11"/>
      <c r="C393" s="11"/>
      <c r="AB393" s="5"/>
      <c r="AW393"/>
    </row>
    <row r="394" spans="2:49" ht="18.600000000000001" customHeight="1" x14ac:dyDescent="0.25">
      <c r="B394" s="11"/>
      <c r="C394" s="11"/>
      <c r="AB394" s="5"/>
      <c r="AW394"/>
    </row>
    <row r="395" spans="2:49" ht="18.600000000000001" customHeight="1" x14ac:dyDescent="0.25">
      <c r="B395" s="11"/>
      <c r="C395" s="11"/>
      <c r="AW395"/>
    </row>
    <row r="396" spans="2:49" ht="18.600000000000001" customHeight="1" x14ac:dyDescent="0.25">
      <c r="B396" s="11"/>
      <c r="C396" s="11"/>
      <c r="AW396"/>
    </row>
    <row r="397" spans="2:49" ht="18.600000000000001" customHeight="1" x14ac:dyDescent="0.25">
      <c r="B397" s="11"/>
      <c r="C397" s="11"/>
      <c r="AW397"/>
    </row>
    <row r="398" spans="2:49" ht="18.600000000000001" customHeight="1" x14ac:dyDescent="0.25">
      <c r="B398" s="11"/>
      <c r="C398" s="11"/>
      <c r="AW398"/>
    </row>
    <row r="399" spans="2:49" ht="18.600000000000001" customHeight="1" x14ac:dyDescent="0.25">
      <c r="B399" s="11"/>
      <c r="C399" s="11"/>
      <c r="AW399"/>
    </row>
    <row r="400" spans="2:49" ht="18.600000000000001" customHeight="1" x14ac:dyDescent="0.25">
      <c r="B400" s="11"/>
      <c r="C400" s="11"/>
      <c r="AW400"/>
    </row>
    <row r="401" spans="2:49" ht="18.600000000000001" customHeight="1" x14ac:dyDescent="0.25">
      <c r="B401" s="11"/>
      <c r="C401" s="11"/>
      <c r="AW401"/>
    </row>
    <row r="402" spans="2:49" ht="18.600000000000001" customHeight="1" x14ac:dyDescent="0.25">
      <c r="B402" s="11"/>
      <c r="C402" s="11"/>
      <c r="AW402"/>
    </row>
    <row r="403" spans="2:49" ht="18.600000000000001" customHeight="1" x14ac:dyDescent="0.25">
      <c r="B403" s="11"/>
      <c r="C403" s="11"/>
      <c r="AW403"/>
    </row>
    <row r="404" spans="2:49" ht="18.600000000000001" customHeight="1" x14ac:dyDescent="0.25">
      <c r="B404" s="11"/>
      <c r="C404" s="11"/>
      <c r="AW404"/>
    </row>
    <row r="405" spans="2:49" ht="18.600000000000001" customHeight="1" x14ac:dyDescent="0.25">
      <c r="B405" s="11"/>
      <c r="C405" s="11"/>
      <c r="AW405"/>
    </row>
    <row r="406" spans="2:49" ht="18.600000000000001" customHeight="1" x14ac:dyDescent="0.25">
      <c r="AW406"/>
    </row>
    <row r="407" spans="2:49" ht="18.600000000000001" customHeight="1" x14ac:dyDescent="0.25">
      <c r="AW407"/>
    </row>
    <row r="408" spans="2:49" ht="18.600000000000001" customHeight="1" x14ac:dyDescent="0.25">
      <c r="AW408"/>
    </row>
    <row r="409" spans="2:49" ht="18.600000000000001" customHeight="1" x14ac:dyDescent="0.25">
      <c r="AW409"/>
    </row>
    <row r="410" spans="2:49" ht="18.600000000000001" customHeight="1" x14ac:dyDescent="0.25">
      <c r="AW410"/>
    </row>
    <row r="411" spans="2:49" ht="18.600000000000001" customHeight="1" x14ac:dyDescent="0.25">
      <c r="AW411"/>
    </row>
    <row r="412" spans="2:49" ht="18.600000000000001" customHeight="1" x14ac:dyDescent="0.25">
      <c r="AW412"/>
    </row>
    <row r="413" spans="2:49" ht="18.600000000000001" customHeight="1" x14ac:dyDescent="0.25">
      <c r="AW413"/>
    </row>
    <row r="414" spans="2:49" ht="18.600000000000001" customHeight="1" x14ac:dyDescent="0.25">
      <c r="AW414"/>
    </row>
    <row r="415" spans="2:49" ht="18.600000000000001" customHeight="1" x14ac:dyDescent="0.25">
      <c r="AW415"/>
    </row>
    <row r="416" spans="2:49" ht="18.600000000000001" customHeight="1" x14ac:dyDescent="0.25">
      <c r="AW416"/>
    </row>
    <row r="417" spans="49:49" ht="18.600000000000001" customHeight="1" x14ac:dyDescent="0.25">
      <c r="AW417"/>
    </row>
    <row r="418" spans="49:49" ht="18.600000000000001" customHeight="1" x14ac:dyDescent="0.25">
      <c r="AW418"/>
    </row>
    <row r="419" spans="49:49" ht="18.600000000000001" customHeight="1" x14ac:dyDescent="0.25">
      <c r="AW419"/>
    </row>
    <row r="420" spans="49:49" ht="18.600000000000001" customHeight="1" x14ac:dyDescent="0.25">
      <c r="AW420"/>
    </row>
    <row r="421" spans="49:49" ht="18.600000000000001" customHeight="1" x14ac:dyDescent="0.25">
      <c r="AW421"/>
    </row>
    <row r="422" spans="49:49" ht="18.600000000000001" customHeight="1" x14ac:dyDescent="0.25">
      <c r="AW422"/>
    </row>
    <row r="423" spans="49:49" ht="18.600000000000001" customHeight="1" x14ac:dyDescent="0.25">
      <c r="AW423"/>
    </row>
    <row r="424" spans="49:49" ht="18.600000000000001" customHeight="1" x14ac:dyDescent="0.25">
      <c r="AW424"/>
    </row>
    <row r="425" spans="49:49" ht="18.600000000000001" customHeight="1" x14ac:dyDescent="0.25">
      <c r="AW425"/>
    </row>
    <row r="426" spans="49:49" ht="18.600000000000001" customHeight="1" x14ac:dyDescent="0.25">
      <c r="AW426"/>
    </row>
    <row r="427" spans="49:49" ht="18.600000000000001" customHeight="1" x14ac:dyDescent="0.25">
      <c r="AW427"/>
    </row>
    <row r="428" spans="49:49" ht="18.600000000000001" customHeight="1" x14ac:dyDescent="0.25">
      <c r="AW428"/>
    </row>
    <row r="429" spans="49:49" ht="18.600000000000001" customHeight="1" x14ac:dyDescent="0.25">
      <c r="AW429"/>
    </row>
    <row r="430" spans="49:49" ht="18.600000000000001" customHeight="1" x14ac:dyDescent="0.25">
      <c r="AW430"/>
    </row>
    <row r="431" spans="49:49" ht="18.600000000000001" customHeight="1" x14ac:dyDescent="0.25">
      <c r="AW431"/>
    </row>
    <row r="432" spans="49:49" ht="18.600000000000001" customHeight="1" x14ac:dyDescent="0.25">
      <c r="AW432"/>
    </row>
    <row r="433" spans="49:49" ht="18.600000000000001" customHeight="1" x14ac:dyDescent="0.25">
      <c r="AW433"/>
    </row>
    <row r="434" spans="49:49" ht="18.600000000000001" customHeight="1" x14ac:dyDescent="0.25">
      <c r="AW434"/>
    </row>
    <row r="435" spans="49:49" ht="18.600000000000001" customHeight="1" x14ac:dyDescent="0.25">
      <c r="AW435"/>
    </row>
    <row r="436" spans="49:49" ht="18.600000000000001" customHeight="1" x14ac:dyDescent="0.25">
      <c r="AW436"/>
    </row>
    <row r="437" spans="49:49" ht="18.600000000000001" customHeight="1" x14ac:dyDescent="0.25">
      <c r="AW437"/>
    </row>
    <row r="438" spans="49:49" ht="18.600000000000001" customHeight="1" x14ac:dyDescent="0.25">
      <c r="AW438"/>
    </row>
    <row r="439" spans="49:49" ht="18.600000000000001" customHeight="1" x14ac:dyDescent="0.25">
      <c r="AW439"/>
    </row>
    <row r="440" spans="49:49" ht="18.600000000000001" customHeight="1" x14ac:dyDescent="0.25">
      <c r="AW440"/>
    </row>
    <row r="441" spans="49:49" ht="18.600000000000001" customHeight="1" x14ac:dyDescent="0.25">
      <c r="AW441"/>
    </row>
    <row r="442" spans="49:49" ht="18.600000000000001" customHeight="1" x14ac:dyDescent="0.25">
      <c r="AW442"/>
    </row>
    <row r="443" spans="49:49" ht="18.600000000000001" customHeight="1" x14ac:dyDescent="0.25">
      <c r="AW443"/>
    </row>
    <row r="444" spans="49:49" ht="18.600000000000001" customHeight="1" x14ac:dyDescent="0.25">
      <c r="AW444"/>
    </row>
    <row r="445" spans="49:49" ht="18.600000000000001" customHeight="1" x14ac:dyDescent="0.25">
      <c r="AW445"/>
    </row>
    <row r="446" spans="49:49" ht="18.600000000000001" customHeight="1" x14ac:dyDescent="0.25">
      <c r="AW446"/>
    </row>
    <row r="447" spans="49:49" ht="18.600000000000001" customHeight="1" x14ac:dyDescent="0.25">
      <c r="AW447"/>
    </row>
    <row r="448" spans="49:49" ht="18.600000000000001" customHeight="1" x14ac:dyDescent="0.25">
      <c r="AW448"/>
    </row>
    <row r="449" spans="49:49" ht="18.600000000000001" customHeight="1" x14ac:dyDescent="0.25">
      <c r="AW449"/>
    </row>
    <row r="450" spans="49:49" ht="18.600000000000001" customHeight="1" x14ac:dyDescent="0.25">
      <c r="AW450"/>
    </row>
    <row r="451" spans="49:49" ht="18.600000000000001" customHeight="1" x14ac:dyDescent="0.25">
      <c r="AW451"/>
    </row>
    <row r="452" spans="49:49" ht="18.600000000000001" customHeight="1" x14ac:dyDescent="0.25">
      <c r="AW452"/>
    </row>
    <row r="453" spans="49:49" ht="18.600000000000001" customHeight="1" x14ac:dyDescent="0.25">
      <c r="AW453"/>
    </row>
    <row r="454" spans="49:49" ht="18.600000000000001" customHeight="1" x14ac:dyDescent="0.25">
      <c r="AW454"/>
    </row>
    <row r="455" spans="49:49" ht="18.600000000000001" customHeight="1" x14ac:dyDescent="0.25">
      <c r="AW455"/>
    </row>
    <row r="456" spans="49:49" ht="18.600000000000001" customHeight="1" x14ac:dyDescent="0.25">
      <c r="AW456"/>
    </row>
    <row r="457" spans="49:49" ht="18.600000000000001" customHeight="1" x14ac:dyDescent="0.25">
      <c r="AW457"/>
    </row>
    <row r="458" spans="49:49" ht="18.600000000000001" customHeight="1" x14ac:dyDescent="0.25">
      <c r="AW458"/>
    </row>
    <row r="459" spans="49:49" ht="18.600000000000001" customHeight="1" x14ac:dyDescent="0.25">
      <c r="AW459"/>
    </row>
    <row r="460" spans="49:49" ht="18.600000000000001" customHeight="1" x14ac:dyDescent="0.25">
      <c r="AW460"/>
    </row>
    <row r="461" spans="49:49" ht="18.600000000000001" customHeight="1" x14ac:dyDescent="0.25">
      <c r="AW461"/>
    </row>
    <row r="462" spans="49:49" ht="18.600000000000001" customHeight="1" x14ac:dyDescent="0.25">
      <c r="AW462"/>
    </row>
    <row r="463" spans="49:49" ht="18.600000000000001" customHeight="1" x14ac:dyDescent="0.25">
      <c r="AW463"/>
    </row>
    <row r="464" spans="49:49" ht="18.600000000000001" customHeight="1" x14ac:dyDescent="0.25">
      <c r="AW464"/>
    </row>
    <row r="465" spans="49:49" ht="18.600000000000001" customHeight="1" x14ac:dyDescent="0.25">
      <c r="AW465"/>
    </row>
    <row r="466" spans="49:49" ht="18.600000000000001" customHeight="1" x14ac:dyDescent="0.25">
      <c r="AW466"/>
    </row>
    <row r="467" spans="49:49" ht="18.600000000000001" customHeight="1" x14ac:dyDescent="0.25">
      <c r="AW467"/>
    </row>
    <row r="468" spans="49:49" ht="18.600000000000001" customHeight="1" x14ac:dyDescent="0.25">
      <c r="AW468"/>
    </row>
    <row r="469" spans="49:49" ht="18.600000000000001" customHeight="1" x14ac:dyDescent="0.25">
      <c r="AW469"/>
    </row>
    <row r="470" spans="49:49" ht="18.600000000000001" customHeight="1" x14ac:dyDescent="0.25">
      <c r="AW470"/>
    </row>
    <row r="471" spans="49:49" ht="18.600000000000001" customHeight="1" x14ac:dyDescent="0.25">
      <c r="AW471"/>
    </row>
    <row r="472" spans="49:49" ht="18.600000000000001" customHeight="1" x14ac:dyDescent="0.25">
      <c r="AW472"/>
    </row>
    <row r="473" spans="49:49" ht="18.600000000000001" customHeight="1" x14ac:dyDescent="0.25">
      <c r="AW473"/>
    </row>
    <row r="474" spans="49:49" ht="18.600000000000001" customHeight="1" x14ac:dyDescent="0.25">
      <c r="AW474"/>
    </row>
    <row r="475" spans="49:49" ht="18.600000000000001" customHeight="1" x14ac:dyDescent="0.25">
      <c r="AW475"/>
    </row>
    <row r="476" spans="49:49" ht="18.600000000000001" customHeight="1" x14ac:dyDescent="0.25">
      <c r="AW476"/>
    </row>
    <row r="477" spans="49:49" ht="18.600000000000001" customHeight="1" x14ac:dyDescent="0.25">
      <c r="AW477"/>
    </row>
    <row r="478" spans="49:49" ht="18.600000000000001" customHeight="1" x14ac:dyDescent="0.25">
      <c r="AW478"/>
    </row>
    <row r="479" spans="49:49" ht="18.600000000000001" customHeight="1" x14ac:dyDescent="0.25">
      <c r="AW479"/>
    </row>
    <row r="480" spans="49:49" ht="18.600000000000001" customHeight="1" x14ac:dyDescent="0.25">
      <c r="AW480"/>
    </row>
    <row r="481" spans="49:49" ht="18.600000000000001" customHeight="1" x14ac:dyDescent="0.25">
      <c r="AW481"/>
    </row>
    <row r="482" spans="49:49" ht="18.600000000000001" customHeight="1" x14ac:dyDescent="0.25">
      <c r="AW482"/>
    </row>
    <row r="483" spans="49:49" ht="18.600000000000001" customHeight="1" x14ac:dyDescent="0.25">
      <c r="AW483"/>
    </row>
    <row r="484" spans="49:49" ht="18.600000000000001" customHeight="1" x14ac:dyDescent="0.25">
      <c r="AW484"/>
    </row>
    <row r="485" spans="49:49" ht="18.600000000000001" customHeight="1" x14ac:dyDescent="0.25">
      <c r="AW485"/>
    </row>
    <row r="486" spans="49:49" ht="18.600000000000001" customHeight="1" x14ac:dyDescent="0.25">
      <c r="AW486"/>
    </row>
    <row r="487" spans="49:49" ht="18.600000000000001" customHeight="1" x14ac:dyDescent="0.25">
      <c r="AW487"/>
    </row>
    <row r="488" spans="49:49" ht="18.600000000000001" customHeight="1" x14ac:dyDescent="0.25">
      <c r="AW488"/>
    </row>
    <row r="489" spans="49:49" ht="18.600000000000001" customHeight="1" x14ac:dyDescent="0.25">
      <c r="AW489"/>
    </row>
    <row r="490" spans="49:49" ht="18.600000000000001" customHeight="1" x14ac:dyDescent="0.25">
      <c r="AW490"/>
    </row>
    <row r="491" spans="49:49" ht="18.600000000000001" customHeight="1" x14ac:dyDescent="0.25">
      <c r="AW491"/>
    </row>
    <row r="492" spans="49:49" ht="18.600000000000001" customHeight="1" x14ac:dyDescent="0.25">
      <c r="AW492"/>
    </row>
    <row r="493" spans="49:49" ht="18.600000000000001" customHeight="1" x14ac:dyDescent="0.25">
      <c r="AW493"/>
    </row>
    <row r="494" spans="49:49" ht="18.600000000000001" customHeight="1" x14ac:dyDescent="0.25">
      <c r="AW494"/>
    </row>
    <row r="495" spans="49:49" ht="18.600000000000001" customHeight="1" x14ac:dyDescent="0.25">
      <c r="AW495"/>
    </row>
    <row r="496" spans="49:49" ht="18.600000000000001" customHeight="1" x14ac:dyDescent="0.25">
      <c r="AW496"/>
    </row>
    <row r="497" spans="49:49" ht="18.600000000000001" customHeight="1" x14ac:dyDescent="0.25">
      <c r="AW497"/>
    </row>
    <row r="498" spans="49:49" ht="18.600000000000001" customHeight="1" x14ac:dyDescent="0.25">
      <c r="AW498"/>
    </row>
    <row r="499" spans="49:49" ht="18.600000000000001" customHeight="1" x14ac:dyDescent="0.25">
      <c r="AW499"/>
    </row>
    <row r="500" spans="49:49" ht="18.600000000000001" customHeight="1" x14ac:dyDescent="0.25">
      <c r="AW500"/>
    </row>
    <row r="501" spans="49:49" ht="18.600000000000001" customHeight="1" x14ac:dyDescent="0.25">
      <c r="AW501"/>
    </row>
    <row r="502" spans="49:49" ht="18.600000000000001" customHeight="1" x14ac:dyDescent="0.25">
      <c r="AW502"/>
    </row>
    <row r="503" spans="49:49" ht="18.600000000000001" customHeight="1" x14ac:dyDescent="0.25">
      <c r="AW503"/>
    </row>
    <row r="504" spans="49:49" ht="18.600000000000001" customHeight="1" x14ac:dyDescent="0.25">
      <c r="AW504"/>
    </row>
    <row r="505" spans="49:49" ht="18.600000000000001" customHeight="1" x14ac:dyDescent="0.25">
      <c r="AW505"/>
    </row>
    <row r="506" spans="49:49" ht="18.600000000000001" customHeight="1" x14ac:dyDescent="0.25">
      <c r="AW506"/>
    </row>
    <row r="507" spans="49:49" ht="18.600000000000001" customHeight="1" x14ac:dyDescent="0.25">
      <c r="AW507"/>
    </row>
    <row r="508" spans="49:49" ht="18.600000000000001" customHeight="1" x14ac:dyDescent="0.25">
      <c r="AW508"/>
    </row>
    <row r="509" spans="49:49" ht="18.600000000000001" customHeight="1" x14ac:dyDescent="0.25">
      <c r="AW509"/>
    </row>
    <row r="510" spans="49:49" ht="18.600000000000001" customHeight="1" x14ac:dyDescent="0.25">
      <c r="AW510"/>
    </row>
    <row r="511" spans="49:49" ht="18.600000000000001" customHeight="1" x14ac:dyDescent="0.25">
      <c r="AW511"/>
    </row>
    <row r="512" spans="49:49" ht="18.600000000000001" customHeight="1" x14ac:dyDescent="0.25">
      <c r="AW512"/>
    </row>
    <row r="513" spans="49:49" ht="18.600000000000001" customHeight="1" x14ac:dyDescent="0.25">
      <c r="AW513"/>
    </row>
    <row r="514" spans="49:49" ht="18.600000000000001" customHeight="1" x14ac:dyDescent="0.25">
      <c r="AW514"/>
    </row>
    <row r="515" spans="49:49" ht="18.600000000000001" customHeight="1" x14ac:dyDescent="0.25">
      <c r="AW515"/>
    </row>
    <row r="516" spans="49:49" ht="18.600000000000001" customHeight="1" x14ac:dyDescent="0.25">
      <c r="AW516"/>
    </row>
    <row r="517" spans="49:49" ht="18.600000000000001" customHeight="1" x14ac:dyDescent="0.25">
      <c r="AW517"/>
    </row>
    <row r="518" spans="49:49" ht="18.600000000000001" customHeight="1" x14ac:dyDescent="0.25">
      <c r="AW518"/>
    </row>
    <row r="519" spans="49:49" ht="18.600000000000001" customHeight="1" x14ac:dyDescent="0.25">
      <c r="AW519"/>
    </row>
    <row r="520" spans="49:49" ht="18.600000000000001" customHeight="1" x14ac:dyDescent="0.25">
      <c r="AW520"/>
    </row>
    <row r="521" spans="49:49" ht="18.600000000000001" customHeight="1" x14ac:dyDescent="0.25">
      <c r="AW521"/>
    </row>
    <row r="522" spans="49:49" ht="18.600000000000001" customHeight="1" x14ac:dyDescent="0.25">
      <c r="AW522"/>
    </row>
    <row r="523" spans="49:49" ht="18.600000000000001" customHeight="1" x14ac:dyDescent="0.25">
      <c r="AW523"/>
    </row>
    <row r="524" spans="49:49" ht="18.600000000000001" customHeight="1" x14ac:dyDescent="0.25">
      <c r="AW524"/>
    </row>
    <row r="525" spans="49:49" ht="18.600000000000001" customHeight="1" x14ac:dyDescent="0.25">
      <c r="AW525"/>
    </row>
    <row r="526" spans="49:49" ht="18.600000000000001" customHeight="1" x14ac:dyDescent="0.25">
      <c r="AW526"/>
    </row>
    <row r="527" spans="49:49" ht="18.600000000000001" customHeight="1" x14ac:dyDescent="0.25">
      <c r="AW527"/>
    </row>
    <row r="528" spans="49:49" ht="18.600000000000001" customHeight="1" x14ac:dyDescent="0.25">
      <c r="AW528"/>
    </row>
    <row r="529" spans="49:49" ht="18.600000000000001" customHeight="1" x14ac:dyDescent="0.25">
      <c r="AW529"/>
    </row>
    <row r="530" spans="49:49" ht="18.600000000000001" customHeight="1" x14ac:dyDescent="0.25">
      <c r="AW530"/>
    </row>
    <row r="531" spans="49:49" ht="18.600000000000001" customHeight="1" x14ac:dyDescent="0.25">
      <c r="AW531"/>
    </row>
    <row r="532" spans="49:49" ht="18.600000000000001" customHeight="1" x14ac:dyDescent="0.25">
      <c r="AW532"/>
    </row>
    <row r="533" spans="49:49" ht="18.600000000000001" customHeight="1" x14ac:dyDescent="0.25">
      <c r="AW533"/>
    </row>
    <row r="534" spans="49:49" ht="18.600000000000001" customHeight="1" x14ac:dyDescent="0.25">
      <c r="AW534"/>
    </row>
    <row r="535" spans="49:49" ht="18.600000000000001" customHeight="1" x14ac:dyDescent="0.25">
      <c r="AW535"/>
    </row>
    <row r="536" spans="49:49" ht="18.600000000000001" customHeight="1" x14ac:dyDescent="0.25">
      <c r="AW536"/>
    </row>
    <row r="537" spans="49:49" ht="18.600000000000001" customHeight="1" x14ac:dyDescent="0.25">
      <c r="AW537"/>
    </row>
    <row r="538" spans="49:49" ht="18.600000000000001" customHeight="1" x14ac:dyDescent="0.25">
      <c r="AW538"/>
    </row>
    <row r="539" spans="49:49" ht="18.600000000000001" customHeight="1" x14ac:dyDescent="0.25">
      <c r="AW539"/>
    </row>
    <row r="540" spans="49:49" ht="18.600000000000001" customHeight="1" x14ac:dyDescent="0.25">
      <c r="AW540"/>
    </row>
    <row r="541" spans="49:49" ht="18.600000000000001" customHeight="1" x14ac:dyDescent="0.25">
      <c r="AW541"/>
    </row>
    <row r="542" spans="49:49" ht="18.600000000000001" customHeight="1" x14ac:dyDescent="0.25">
      <c r="AW542"/>
    </row>
    <row r="543" spans="49:49" ht="18.600000000000001" customHeight="1" x14ac:dyDescent="0.25">
      <c r="AW543"/>
    </row>
    <row r="544" spans="49:49" ht="18.600000000000001" customHeight="1" x14ac:dyDescent="0.25">
      <c r="AW544"/>
    </row>
    <row r="545" spans="49:49" ht="18.600000000000001" customHeight="1" x14ac:dyDescent="0.25">
      <c r="AW545"/>
    </row>
    <row r="546" spans="49:49" ht="18.600000000000001" customHeight="1" x14ac:dyDescent="0.25">
      <c r="AW546"/>
    </row>
    <row r="547" spans="49:49" ht="18.600000000000001" customHeight="1" x14ac:dyDescent="0.25">
      <c r="AW547"/>
    </row>
    <row r="548" spans="49:49" ht="18.600000000000001" customHeight="1" x14ac:dyDescent="0.25">
      <c r="AW548"/>
    </row>
    <row r="549" spans="49:49" ht="18.600000000000001" customHeight="1" x14ac:dyDescent="0.25">
      <c r="AW549"/>
    </row>
    <row r="550" spans="49:49" ht="18.600000000000001" customHeight="1" x14ac:dyDescent="0.25">
      <c r="AW550"/>
    </row>
    <row r="551" spans="49:49" ht="18.600000000000001" customHeight="1" x14ac:dyDescent="0.25">
      <c r="AW551"/>
    </row>
    <row r="552" spans="49:49" ht="18.600000000000001" customHeight="1" x14ac:dyDescent="0.25">
      <c r="AW552"/>
    </row>
    <row r="553" spans="49:49" ht="18.600000000000001" customHeight="1" x14ac:dyDescent="0.25">
      <c r="AW553"/>
    </row>
    <row r="554" spans="49:49" ht="18.600000000000001" customHeight="1" x14ac:dyDescent="0.25">
      <c r="AW554"/>
    </row>
    <row r="555" spans="49:49" ht="18.600000000000001" customHeight="1" x14ac:dyDescent="0.25">
      <c r="AW555"/>
    </row>
    <row r="556" spans="49:49" ht="18.600000000000001" customHeight="1" x14ac:dyDescent="0.25">
      <c r="AW556"/>
    </row>
    <row r="557" spans="49:49" ht="18.600000000000001" customHeight="1" x14ac:dyDescent="0.25">
      <c r="AW557"/>
    </row>
    <row r="558" spans="49:49" ht="18.600000000000001" customHeight="1" x14ac:dyDescent="0.25">
      <c r="AW558"/>
    </row>
    <row r="559" spans="49:49" ht="18.600000000000001" customHeight="1" x14ac:dyDescent="0.25">
      <c r="AW559"/>
    </row>
    <row r="560" spans="49:49" ht="18.600000000000001" customHeight="1" x14ac:dyDescent="0.25">
      <c r="AW560"/>
    </row>
    <row r="561" spans="49:49" ht="18.600000000000001" customHeight="1" x14ac:dyDescent="0.25">
      <c r="AW561"/>
    </row>
    <row r="562" spans="49:49" ht="18.600000000000001" customHeight="1" x14ac:dyDescent="0.25">
      <c r="AW562"/>
    </row>
    <row r="563" spans="49:49" ht="18.600000000000001" customHeight="1" x14ac:dyDescent="0.25">
      <c r="AW563"/>
    </row>
    <row r="564" spans="49:49" ht="18.600000000000001" customHeight="1" x14ac:dyDescent="0.25">
      <c r="AW564"/>
    </row>
    <row r="565" spans="49:49" ht="18.600000000000001" customHeight="1" x14ac:dyDescent="0.25">
      <c r="AW565"/>
    </row>
    <row r="566" spans="49:49" ht="18.600000000000001" customHeight="1" x14ac:dyDescent="0.25">
      <c r="AW566"/>
    </row>
    <row r="567" spans="49:49" ht="18.600000000000001" customHeight="1" x14ac:dyDescent="0.25">
      <c r="AW567"/>
    </row>
    <row r="568" spans="49:49" ht="18.600000000000001" customHeight="1" x14ac:dyDescent="0.25">
      <c r="AW568"/>
    </row>
    <row r="569" spans="49:49" ht="18.600000000000001" customHeight="1" x14ac:dyDescent="0.25">
      <c r="AW569"/>
    </row>
    <row r="570" spans="49:49" ht="18.600000000000001" customHeight="1" x14ac:dyDescent="0.25">
      <c r="AW570"/>
    </row>
    <row r="571" spans="49:49" ht="18.600000000000001" customHeight="1" x14ac:dyDescent="0.25">
      <c r="AW571"/>
    </row>
    <row r="572" spans="49:49" ht="18.600000000000001" customHeight="1" x14ac:dyDescent="0.25">
      <c r="AW572"/>
    </row>
    <row r="573" spans="49:49" ht="18.600000000000001" customHeight="1" x14ac:dyDescent="0.25">
      <c r="AW573"/>
    </row>
    <row r="574" spans="49:49" ht="18.600000000000001" customHeight="1" x14ac:dyDescent="0.25">
      <c r="AW574"/>
    </row>
    <row r="575" spans="49:49" ht="18.600000000000001" customHeight="1" x14ac:dyDescent="0.25">
      <c r="AW575"/>
    </row>
    <row r="576" spans="49:49" ht="18.600000000000001" customHeight="1" x14ac:dyDescent="0.25">
      <c r="AW576"/>
    </row>
    <row r="577" spans="49:49" ht="18.600000000000001" customHeight="1" x14ac:dyDescent="0.25">
      <c r="AW577"/>
    </row>
    <row r="578" spans="49:49" ht="18.600000000000001" customHeight="1" x14ac:dyDescent="0.25">
      <c r="AW578"/>
    </row>
    <row r="579" spans="49:49" ht="18.600000000000001" customHeight="1" x14ac:dyDescent="0.25">
      <c r="AW579"/>
    </row>
    <row r="580" spans="49:49" ht="18.600000000000001" customHeight="1" x14ac:dyDescent="0.25">
      <c r="AW580"/>
    </row>
    <row r="581" spans="49:49" ht="18.600000000000001" customHeight="1" x14ac:dyDescent="0.25">
      <c r="AW581"/>
    </row>
    <row r="582" spans="49:49" ht="18.600000000000001" customHeight="1" x14ac:dyDescent="0.25">
      <c r="AW582"/>
    </row>
    <row r="583" spans="49:49" ht="18.600000000000001" customHeight="1" x14ac:dyDescent="0.25">
      <c r="AW583"/>
    </row>
    <row r="584" spans="49:49" ht="18.600000000000001" customHeight="1" x14ac:dyDescent="0.25">
      <c r="AW584"/>
    </row>
    <row r="585" spans="49:49" ht="18.600000000000001" customHeight="1" x14ac:dyDescent="0.25">
      <c r="AW585"/>
    </row>
    <row r="586" spans="49:49" ht="18.600000000000001" customHeight="1" x14ac:dyDescent="0.25">
      <c r="AW586"/>
    </row>
    <row r="587" spans="49:49" ht="18.600000000000001" customHeight="1" x14ac:dyDescent="0.25">
      <c r="AW587"/>
    </row>
    <row r="588" spans="49:49" ht="18.600000000000001" customHeight="1" x14ac:dyDescent="0.25">
      <c r="AW588"/>
    </row>
    <row r="589" spans="49:49" ht="18.600000000000001" customHeight="1" x14ac:dyDescent="0.25">
      <c r="AW589"/>
    </row>
    <row r="590" spans="49:49" ht="18.600000000000001" customHeight="1" x14ac:dyDescent="0.25">
      <c r="AW590"/>
    </row>
    <row r="591" spans="49:49" ht="18.600000000000001" customHeight="1" x14ac:dyDescent="0.25">
      <c r="AW591"/>
    </row>
    <row r="592" spans="49:49" ht="18.600000000000001" customHeight="1" x14ac:dyDescent="0.25">
      <c r="AW592"/>
    </row>
    <row r="593" spans="49:49" ht="18.600000000000001" customHeight="1" x14ac:dyDescent="0.25">
      <c r="AW593"/>
    </row>
    <row r="594" spans="49:49" ht="18.600000000000001" customHeight="1" x14ac:dyDescent="0.25">
      <c r="AW594"/>
    </row>
    <row r="595" spans="49:49" ht="18.600000000000001" customHeight="1" x14ac:dyDescent="0.25">
      <c r="AW595"/>
    </row>
    <row r="596" spans="49:49" ht="18.600000000000001" customHeight="1" x14ac:dyDescent="0.25">
      <c r="AW596"/>
    </row>
    <row r="597" spans="49:49" ht="18.600000000000001" customHeight="1" x14ac:dyDescent="0.25">
      <c r="AW597"/>
    </row>
    <row r="598" spans="49:49" ht="18.600000000000001" customHeight="1" x14ac:dyDescent="0.25">
      <c r="AW598"/>
    </row>
    <row r="599" spans="49:49" ht="18.600000000000001" customHeight="1" x14ac:dyDescent="0.25">
      <c r="AW599"/>
    </row>
    <row r="600" spans="49:49" ht="18.600000000000001" customHeight="1" x14ac:dyDescent="0.25">
      <c r="AW600"/>
    </row>
    <row r="601" spans="49:49" ht="18.600000000000001" customHeight="1" x14ac:dyDescent="0.25">
      <c r="AW601"/>
    </row>
    <row r="602" spans="49:49" ht="18.600000000000001" customHeight="1" x14ac:dyDescent="0.25">
      <c r="AW602"/>
    </row>
    <row r="603" spans="49:49" ht="18.600000000000001" customHeight="1" x14ac:dyDescent="0.25">
      <c r="AW603"/>
    </row>
    <row r="604" spans="49:49" ht="18.600000000000001" customHeight="1" x14ac:dyDescent="0.25">
      <c r="AW604"/>
    </row>
    <row r="605" spans="49:49" ht="18.600000000000001" customHeight="1" x14ac:dyDescent="0.25">
      <c r="AW605"/>
    </row>
    <row r="606" spans="49:49" ht="18.600000000000001" customHeight="1" x14ac:dyDescent="0.25">
      <c r="AW606"/>
    </row>
    <row r="607" spans="49:49" ht="18.600000000000001" customHeight="1" x14ac:dyDescent="0.25">
      <c r="AW607"/>
    </row>
    <row r="608" spans="49:49" ht="18.600000000000001" customHeight="1" x14ac:dyDescent="0.25">
      <c r="AW608"/>
    </row>
    <row r="609" spans="49:49" ht="18.600000000000001" customHeight="1" x14ac:dyDescent="0.25">
      <c r="AW609"/>
    </row>
    <row r="610" spans="49:49" ht="18.600000000000001" customHeight="1" x14ac:dyDescent="0.25">
      <c r="AW610"/>
    </row>
    <row r="611" spans="49:49" ht="18.600000000000001" customHeight="1" x14ac:dyDescent="0.25">
      <c r="AW611"/>
    </row>
    <row r="612" spans="49:49" ht="18.600000000000001" customHeight="1" x14ac:dyDescent="0.25">
      <c r="AW612"/>
    </row>
    <row r="613" spans="49:49" ht="18.600000000000001" customHeight="1" x14ac:dyDescent="0.25">
      <c r="AW613"/>
    </row>
    <row r="614" spans="49:49" ht="18.600000000000001" customHeight="1" x14ac:dyDescent="0.25">
      <c r="AW614"/>
    </row>
    <row r="615" spans="49:49" ht="18.600000000000001" customHeight="1" x14ac:dyDescent="0.25">
      <c r="AW615"/>
    </row>
    <row r="616" spans="49:49" ht="18.600000000000001" customHeight="1" x14ac:dyDescent="0.25">
      <c r="AW616"/>
    </row>
    <row r="617" spans="49:49" ht="18.600000000000001" customHeight="1" x14ac:dyDescent="0.25">
      <c r="AW617"/>
    </row>
    <row r="618" spans="49:49" ht="18.600000000000001" customHeight="1" x14ac:dyDescent="0.25">
      <c r="AW618"/>
    </row>
    <row r="619" spans="49:49" ht="18.600000000000001" customHeight="1" x14ac:dyDescent="0.25">
      <c r="AW619"/>
    </row>
    <row r="620" spans="49:49" ht="18.600000000000001" customHeight="1" x14ac:dyDescent="0.25">
      <c r="AW620"/>
    </row>
    <row r="621" spans="49:49" ht="18.600000000000001" customHeight="1" x14ac:dyDescent="0.25">
      <c r="AW621"/>
    </row>
    <row r="622" spans="49:49" ht="18.600000000000001" customHeight="1" x14ac:dyDescent="0.25">
      <c r="AW622"/>
    </row>
    <row r="623" spans="49:49" ht="18.600000000000001" customHeight="1" x14ac:dyDescent="0.25">
      <c r="AW623"/>
    </row>
    <row r="624" spans="49:49" ht="18.600000000000001" customHeight="1" x14ac:dyDescent="0.25">
      <c r="AW624"/>
    </row>
    <row r="625" spans="49:49" ht="18.600000000000001" customHeight="1" x14ac:dyDescent="0.25">
      <c r="AW625"/>
    </row>
    <row r="626" spans="49:49" ht="18.600000000000001" customHeight="1" x14ac:dyDescent="0.25">
      <c r="AW626"/>
    </row>
    <row r="627" spans="49:49" ht="18.600000000000001" customHeight="1" x14ac:dyDescent="0.25">
      <c r="AW627"/>
    </row>
    <row r="628" spans="49:49" ht="18.600000000000001" customHeight="1" x14ac:dyDescent="0.25">
      <c r="AW628"/>
    </row>
    <row r="629" spans="49:49" ht="18.600000000000001" customHeight="1" x14ac:dyDescent="0.25">
      <c r="AW629"/>
    </row>
    <row r="630" spans="49:49" ht="18.600000000000001" customHeight="1" x14ac:dyDescent="0.25">
      <c r="AW630"/>
    </row>
    <row r="631" spans="49:49" ht="18.600000000000001" customHeight="1" x14ac:dyDescent="0.25">
      <c r="AW631"/>
    </row>
    <row r="632" spans="49:49" ht="18.600000000000001" customHeight="1" x14ac:dyDescent="0.25">
      <c r="AW632"/>
    </row>
    <row r="633" spans="49:49" ht="18.600000000000001" customHeight="1" x14ac:dyDescent="0.25">
      <c r="AW633"/>
    </row>
    <row r="634" spans="49:49" ht="18.600000000000001" customHeight="1" x14ac:dyDescent="0.25">
      <c r="AW634"/>
    </row>
    <row r="635" spans="49:49" ht="18.600000000000001" customHeight="1" x14ac:dyDescent="0.25">
      <c r="AW635"/>
    </row>
    <row r="636" spans="49:49" ht="18.600000000000001" customHeight="1" x14ac:dyDescent="0.25">
      <c r="AW636"/>
    </row>
    <row r="637" spans="49:49" ht="18.600000000000001" customHeight="1" x14ac:dyDescent="0.25">
      <c r="AW637"/>
    </row>
    <row r="638" spans="49:49" ht="18.600000000000001" customHeight="1" x14ac:dyDescent="0.25">
      <c r="AW638"/>
    </row>
    <row r="639" spans="49:49" ht="18.600000000000001" customHeight="1" x14ac:dyDescent="0.25">
      <c r="AW639"/>
    </row>
    <row r="640" spans="49:49" ht="18.600000000000001" customHeight="1" x14ac:dyDescent="0.25">
      <c r="AW640"/>
    </row>
    <row r="641" spans="49:49" ht="18.600000000000001" customHeight="1" x14ac:dyDescent="0.25">
      <c r="AW641"/>
    </row>
    <row r="642" spans="49:49" ht="18.600000000000001" customHeight="1" x14ac:dyDescent="0.25">
      <c r="AW642"/>
    </row>
    <row r="643" spans="49:49" ht="18.600000000000001" customHeight="1" x14ac:dyDescent="0.25">
      <c r="AW643"/>
    </row>
    <row r="644" spans="49:49" ht="18.600000000000001" customHeight="1" x14ac:dyDescent="0.25">
      <c r="AW644"/>
    </row>
    <row r="645" spans="49:49" ht="18.600000000000001" customHeight="1" x14ac:dyDescent="0.25">
      <c r="AW645"/>
    </row>
    <row r="646" spans="49:49" ht="18.600000000000001" customHeight="1" x14ac:dyDescent="0.25">
      <c r="AW646"/>
    </row>
    <row r="647" spans="49:49" ht="18.600000000000001" customHeight="1" x14ac:dyDescent="0.25">
      <c r="AW647"/>
    </row>
    <row r="648" spans="49:49" ht="18.600000000000001" customHeight="1" x14ac:dyDescent="0.25">
      <c r="AW648"/>
    </row>
    <row r="649" spans="49:49" ht="18.600000000000001" customHeight="1" x14ac:dyDescent="0.25">
      <c r="AW649"/>
    </row>
    <row r="650" spans="49:49" ht="18.600000000000001" customHeight="1" x14ac:dyDescent="0.25">
      <c r="AW650"/>
    </row>
    <row r="651" spans="49:49" ht="18.600000000000001" customHeight="1" x14ac:dyDescent="0.25">
      <c r="AW651"/>
    </row>
    <row r="652" spans="49:49" ht="18.600000000000001" customHeight="1" x14ac:dyDescent="0.25">
      <c r="AW652"/>
    </row>
    <row r="653" spans="49:49" ht="18.600000000000001" customHeight="1" x14ac:dyDescent="0.25">
      <c r="AW653"/>
    </row>
    <row r="654" spans="49:49" ht="18.600000000000001" customHeight="1" x14ac:dyDescent="0.25">
      <c r="AW654"/>
    </row>
    <row r="655" spans="49:49" ht="18.600000000000001" customHeight="1" x14ac:dyDescent="0.25">
      <c r="AW655"/>
    </row>
    <row r="656" spans="49:49" ht="18.600000000000001" customHeight="1" x14ac:dyDescent="0.25">
      <c r="AW656"/>
    </row>
    <row r="657" spans="49:49" ht="18.600000000000001" customHeight="1" x14ac:dyDescent="0.25">
      <c r="AW657"/>
    </row>
    <row r="658" spans="49:49" ht="18.600000000000001" customHeight="1" x14ac:dyDescent="0.25">
      <c r="AW658"/>
    </row>
    <row r="659" spans="49:49" ht="18.600000000000001" customHeight="1" x14ac:dyDescent="0.25">
      <c r="AW659"/>
    </row>
    <row r="660" spans="49:49" ht="18.600000000000001" customHeight="1" x14ac:dyDescent="0.25">
      <c r="AW660"/>
    </row>
    <row r="661" spans="49:49" ht="18.600000000000001" customHeight="1" x14ac:dyDescent="0.25">
      <c r="AW661"/>
    </row>
    <row r="662" spans="49:49" ht="18.600000000000001" customHeight="1" x14ac:dyDescent="0.25">
      <c r="AW662"/>
    </row>
    <row r="663" spans="49:49" ht="18.600000000000001" customHeight="1" x14ac:dyDescent="0.25">
      <c r="AW663"/>
    </row>
    <row r="664" spans="49:49" ht="18.600000000000001" customHeight="1" x14ac:dyDescent="0.25">
      <c r="AW664"/>
    </row>
    <row r="665" spans="49:49" ht="18.600000000000001" customHeight="1" x14ac:dyDescent="0.25">
      <c r="AW665"/>
    </row>
    <row r="666" spans="49:49" ht="18.600000000000001" customHeight="1" x14ac:dyDescent="0.25">
      <c r="AW666"/>
    </row>
    <row r="667" spans="49:49" ht="18.600000000000001" customHeight="1" x14ac:dyDescent="0.25">
      <c r="AW667"/>
    </row>
    <row r="668" spans="49:49" ht="18.600000000000001" customHeight="1" x14ac:dyDescent="0.25">
      <c r="AW668"/>
    </row>
    <row r="669" spans="49:49" ht="18.600000000000001" customHeight="1" x14ac:dyDescent="0.25">
      <c r="AW669"/>
    </row>
    <row r="670" spans="49:49" ht="18.600000000000001" customHeight="1" x14ac:dyDescent="0.25">
      <c r="AW670"/>
    </row>
    <row r="671" spans="49:49" ht="18.600000000000001" customHeight="1" x14ac:dyDescent="0.25">
      <c r="AW671"/>
    </row>
    <row r="672" spans="49:49" ht="18.600000000000001" customHeight="1" x14ac:dyDescent="0.25">
      <c r="AW672"/>
    </row>
    <row r="673" spans="49:49" ht="18.600000000000001" customHeight="1" x14ac:dyDescent="0.25">
      <c r="AW673"/>
    </row>
    <row r="674" spans="49:49" ht="18.600000000000001" customHeight="1" x14ac:dyDescent="0.25">
      <c r="AW674"/>
    </row>
    <row r="675" spans="49:49" ht="18.600000000000001" customHeight="1" x14ac:dyDescent="0.25">
      <c r="AW675"/>
    </row>
    <row r="676" spans="49:49" ht="18.600000000000001" customHeight="1" x14ac:dyDescent="0.25">
      <c r="AW676"/>
    </row>
    <row r="677" spans="49:49" ht="18.600000000000001" customHeight="1" x14ac:dyDescent="0.25">
      <c r="AW677"/>
    </row>
    <row r="678" spans="49:49" ht="18.600000000000001" customHeight="1" x14ac:dyDescent="0.25">
      <c r="AW678"/>
    </row>
    <row r="679" spans="49:49" ht="18.600000000000001" customHeight="1" x14ac:dyDescent="0.25">
      <c r="AW679"/>
    </row>
    <row r="680" spans="49:49" ht="18.600000000000001" customHeight="1" x14ac:dyDescent="0.25">
      <c r="AW680"/>
    </row>
    <row r="681" spans="49:49" ht="18.600000000000001" customHeight="1" x14ac:dyDescent="0.25">
      <c r="AW681"/>
    </row>
    <row r="682" spans="49:49" ht="18.600000000000001" customHeight="1" x14ac:dyDescent="0.25">
      <c r="AW682"/>
    </row>
    <row r="683" spans="49:49" ht="18.600000000000001" customHeight="1" x14ac:dyDescent="0.25">
      <c r="AW683"/>
    </row>
    <row r="684" spans="49:49" ht="18.600000000000001" customHeight="1" x14ac:dyDescent="0.25">
      <c r="AW684"/>
    </row>
    <row r="685" spans="49:49" ht="18.600000000000001" customHeight="1" x14ac:dyDescent="0.25">
      <c r="AW685"/>
    </row>
    <row r="686" spans="49:49" ht="18.600000000000001" customHeight="1" x14ac:dyDescent="0.25">
      <c r="AW686"/>
    </row>
    <row r="687" spans="49:49" ht="18.600000000000001" customHeight="1" x14ac:dyDescent="0.25">
      <c r="AW687"/>
    </row>
    <row r="688" spans="49:49" ht="18.600000000000001" customHeight="1" x14ac:dyDescent="0.25">
      <c r="AW688"/>
    </row>
    <row r="689" spans="49:49" ht="18.600000000000001" customHeight="1" x14ac:dyDescent="0.25">
      <c r="AW689"/>
    </row>
    <row r="690" spans="49:49" ht="18.600000000000001" customHeight="1" x14ac:dyDescent="0.25">
      <c r="AW690"/>
    </row>
    <row r="691" spans="49:49" ht="18.600000000000001" customHeight="1" x14ac:dyDescent="0.25">
      <c r="AW691"/>
    </row>
    <row r="692" spans="49:49" ht="18.600000000000001" customHeight="1" x14ac:dyDescent="0.25">
      <c r="AW692"/>
    </row>
    <row r="693" spans="49:49" ht="18.600000000000001" customHeight="1" x14ac:dyDescent="0.25">
      <c r="AW693"/>
    </row>
    <row r="694" spans="49:49" ht="18.600000000000001" customHeight="1" x14ac:dyDescent="0.25">
      <c r="AW694"/>
    </row>
    <row r="695" spans="49:49" ht="18.600000000000001" customHeight="1" x14ac:dyDescent="0.25">
      <c r="AW695"/>
    </row>
    <row r="696" spans="49:49" ht="18.600000000000001" customHeight="1" x14ac:dyDescent="0.25">
      <c r="AW696"/>
    </row>
    <row r="697" spans="49:49" ht="18.600000000000001" customHeight="1" x14ac:dyDescent="0.25">
      <c r="AW697"/>
    </row>
    <row r="698" spans="49:49" ht="18.600000000000001" customHeight="1" x14ac:dyDescent="0.25">
      <c r="AW698"/>
    </row>
    <row r="699" spans="49:49" ht="18.600000000000001" customHeight="1" x14ac:dyDescent="0.25">
      <c r="AW699"/>
    </row>
    <row r="700" spans="49:49" ht="18.600000000000001" customHeight="1" x14ac:dyDescent="0.25">
      <c r="AW700"/>
    </row>
    <row r="701" spans="49:49" ht="18.600000000000001" customHeight="1" x14ac:dyDescent="0.25">
      <c r="AW701"/>
    </row>
    <row r="702" spans="49:49" ht="18.600000000000001" customHeight="1" x14ac:dyDescent="0.25">
      <c r="AW702"/>
    </row>
    <row r="703" spans="49:49" ht="18.600000000000001" customHeight="1" x14ac:dyDescent="0.25">
      <c r="AW703"/>
    </row>
    <row r="704" spans="49:49" ht="18.600000000000001" customHeight="1" x14ac:dyDescent="0.25">
      <c r="AW704"/>
    </row>
    <row r="705" spans="49:49" ht="18.600000000000001" customHeight="1" x14ac:dyDescent="0.25">
      <c r="AW705"/>
    </row>
    <row r="706" spans="49:49" ht="18.600000000000001" customHeight="1" x14ac:dyDescent="0.25">
      <c r="AW706"/>
    </row>
    <row r="707" spans="49:49" ht="18.600000000000001" customHeight="1" x14ac:dyDescent="0.25">
      <c r="AW707"/>
    </row>
    <row r="708" spans="49:49" ht="18.600000000000001" customHeight="1" x14ac:dyDescent="0.25">
      <c r="AW708"/>
    </row>
    <row r="709" spans="49:49" ht="18.600000000000001" customHeight="1" x14ac:dyDescent="0.25">
      <c r="AW709"/>
    </row>
    <row r="710" spans="49:49" ht="18.600000000000001" customHeight="1" x14ac:dyDescent="0.25">
      <c r="AW710"/>
    </row>
    <row r="711" spans="49:49" ht="18.600000000000001" customHeight="1" x14ac:dyDescent="0.25">
      <c r="AW711"/>
    </row>
    <row r="712" spans="49:49" ht="18.600000000000001" customHeight="1" x14ac:dyDescent="0.25">
      <c r="AW712"/>
    </row>
    <row r="713" spans="49:49" ht="18.600000000000001" customHeight="1" x14ac:dyDescent="0.25">
      <c r="AW713"/>
    </row>
    <row r="714" spans="49:49" ht="18.600000000000001" customHeight="1" x14ac:dyDescent="0.25">
      <c r="AW714"/>
    </row>
    <row r="715" spans="49:49" ht="18.600000000000001" customHeight="1" x14ac:dyDescent="0.25">
      <c r="AW715"/>
    </row>
    <row r="716" spans="49:49" ht="18.600000000000001" customHeight="1" x14ac:dyDescent="0.25">
      <c r="AW716"/>
    </row>
    <row r="717" spans="49:49" ht="18.600000000000001" customHeight="1" x14ac:dyDescent="0.25">
      <c r="AW717"/>
    </row>
    <row r="718" spans="49:49" ht="18.600000000000001" customHeight="1" x14ac:dyDescent="0.25">
      <c r="AW718"/>
    </row>
    <row r="719" spans="49:49" ht="18.600000000000001" customHeight="1" x14ac:dyDescent="0.25">
      <c r="AW719"/>
    </row>
    <row r="720" spans="49:49" ht="18.600000000000001" customHeight="1" x14ac:dyDescent="0.25">
      <c r="AW720"/>
    </row>
    <row r="721" spans="49:49" ht="18.600000000000001" customHeight="1" x14ac:dyDescent="0.25">
      <c r="AW721"/>
    </row>
    <row r="722" spans="49:49" ht="18.600000000000001" customHeight="1" x14ac:dyDescent="0.25">
      <c r="AW722"/>
    </row>
    <row r="723" spans="49:49" ht="18.600000000000001" customHeight="1" x14ac:dyDescent="0.25">
      <c r="AW723"/>
    </row>
    <row r="724" spans="49:49" ht="18.600000000000001" customHeight="1" x14ac:dyDescent="0.25">
      <c r="AW724"/>
    </row>
    <row r="725" spans="49:49" ht="18.600000000000001" customHeight="1" x14ac:dyDescent="0.25">
      <c r="AW725"/>
    </row>
    <row r="726" spans="49:49" ht="18.600000000000001" customHeight="1" x14ac:dyDescent="0.25">
      <c r="AW726"/>
    </row>
    <row r="727" spans="49:49" ht="18.600000000000001" customHeight="1" x14ac:dyDescent="0.25">
      <c r="AW727"/>
    </row>
    <row r="728" spans="49:49" ht="18.600000000000001" customHeight="1" x14ac:dyDescent="0.25">
      <c r="AW728"/>
    </row>
    <row r="729" spans="49:49" ht="18.600000000000001" customHeight="1" x14ac:dyDescent="0.25">
      <c r="AW729"/>
    </row>
    <row r="730" spans="49:49" ht="18.600000000000001" customHeight="1" x14ac:dyDescent="0.25">
      <c r="AW730"/>
    </row>
    <row r="731" spans="49:49" ht="18.600000000000001" customHeight="1" x14ac:dyDescent="0.25">
      <c r="AW731"/>
    </row>
    <row r="732" spans="49:49" ht="18.600000000000001" customHeight="1" x14ac:dyDescent="0.25">
      <c r="AW732"/>
    </row>
    <row r="733" spans="49:49" ht="18.600000000000001" customHeight="1" x14ac:dyDescent="0.25">
      <c r="AW733"/>
    </row>
    <row r="734" spans="49:49" ht="18.600000000000001" customHeight="1" x14ac:dyDescent="0.25">
      <c r="AW734"/>
    </row>
    <row r="735" spans="49:49" ht="18.600000000000001" customHeight="1" x14ac:dyDescent="0.25">
      <c r="AW735"/>
    </row>
    <row r="736" spans="49:49" ht="18.600000000000001" customHeight="1" x14ac:dyDescent="0.25">
      <c r="AW736"/>
    </row>
    <row r="737" spans="49:49" ht="18.600000000000001" customHeight="1" x14ac:dyDescent="0.25">
      <c r="AW737"/>
    </row>
    <row r="738" spans="49:49" ht="18.600000000000001" customHeight="1" x14ac:dyDescent="0.25">
      <c r="AW738"/>
    </row>
    <row r="739" spans="49:49" ht="18.600000000000001" customHeight="1" x14ac:dyDescent="0.25">
      <c r="AW739"/>
    </row>
    <row r="740" spans="49:49" ht="18.600000000000001" customHeight="1" x14ac:dyDescent="0.25">
      <c r="AW740"/>
    </row>
    <row r="741" spans="49:49" ht="18.600000000000001" customHeight="1" x14ac:dyDescent="0.25">
      <c r="AW741"/>
    </row>
    <row r="742" spans="49:49" ht="18.600000000000001" customHeight="1" x14ac:dyDescent="0.25">
      <c r="AW742"/>
    </row>
    <row r="743" spans="49:49" ht="18.600000000000001" customHeight="1" x14ac:dyDescent="0.25">
      <c r="AW743"/>
    </row>
    <row r="744" spans="49:49" ht="18.600000000000001" customHeight="1" x14ac:dyDescent="0.25">
      <c r="AW744"/>
    </row>
    <row r="745" spans="49:49" ht="18.600000000000001" customHeight="1" x14ac:dyDescent="0.25">
      <c r="AW745"/>
    </row>
    <row r="746" spans="49:49" ht="18.600000000000001" customHeight="1" x14ac:dyDescent="0.25">
      <c r="AW746"/>
    </row>
    <row r="747" spans="49:49" ht="18.600000000000001" customHeight="1" x14ac:dyDescent="0.25">
      <c r="AW747"/>
    </row>
    <row r="748" spans="49:49" ht="18.600000000000001" customHeight="1" x14ac:dyDescent="0.25">
      <c r="AW748"/>
    </row>
    <row r="749" spans="49:49" ht="18.600000000000001" customHeight="1" x14ac:dyDescent="0.25">
      <c r="AW749"/>
    </row>
    <row r="750" spans="49:49" ht="18.600000000000001" customHeight="1" x14ac:dyDescent="0.25">
      <c r="AW750"/>
    </row>
    <row r="751" spans="49:49" ht="18.600000000000001" customHeight="1" x14ac:dyDescent="0.25">
      <c r="AW751"/>
    </row>
    <row r="752" spans="49:49" ht="18.600000000000001" customHeight="1" x14ac:dyDescent="0.25">
      <c r="AW752"/>
    </row>
    <row r="753" spans="49:49" ht="18.600000000000001" customHeight="1" x14ac:dyDescent="0.25">
      <c r="AW753"/>
    </row>
    <row r="754" spans="49:49" ht="18.600000000000001" customHeight="1" x14ac:dyDescent="0.25">
      <c r="AW754"/>
    </row>
    <row r="755" spans="49:49" ht="18.600000000000001" customHeight="1" x14ac:dyDescent="0.25">
      <c r="AW755"/>
    </row>
    <row r="756" spans="49:49" ht="18.600000000000001" customHeight="1" x14ac:dyDescent="0.25">
      <c r="AW756"/>
    </row>
    <row r="757" spans="49:49" ht="18.600000000000001" customHeight="1" x14ac:dyDescent="0.25">
      <c r="AW757"/>
    </row>
    <row r="758" spans="49:49" ht="18.600000000000001" customHeight="1" x14ac:dyDescent="0.25">
      <c r="AW758"/>
    </row>
    <row r="759" spans="49:49" ht="18.600000000000001" customHeight="1" x14ac:dyDescent="0.25">
      <c r="AW759"/>
    </row>
    <row r="760" spans="49:49" ht="18.600000000000001" customHeight="1" x14ac:dyDescent="0.25">
      <c r="AW760"/>
    </row>
    <row r="761" spans="49:49" ht="18.600000000000001" customHeight="1" x14ac:dyDescent="0.25">
      <c r="AW761"/>
    </row>
    <row r="762" spans="49:49" ht="18.600000000000001" customHeight="1" x14ac:dyDescent="0.25">
      <c r="AW762"/>
    </row>
    <row r="763" spans="49:49" ht="18.600000000000001" customHeight="1" x14ac:dyDescent="0.25">
      <c r="AW763"/>
    </row>
    <row r="764" spans="49:49" ht="18.600000000000001" customHeight="1" x14ac:dyDescent="0.25">
      <c r="AW764"/>
    </row>
    <row r="765" spans="49:49" ht="18.600000000000001" customHeight="1" x14ac:dyDescent="0.25">
      <c r="AW765"/>
    </row>
    <row r="766" spans="49:49" ht="18.600000000000001" customHeight="1" x14ac:dyDescent="0.25">
      <c r="AW766"/>
    </row>
    <row r="767" spans="49:49" ht="18.600000000000001" customHeight="1" x14ac:dyDescent="0.25">
      <c r="AW767"/>
    </row>
    <row r="768" spans="49:49" ht="18.600000000000001" customHeight="1" x14ac:dyDescent="0.25">
      <c r="AW768"/>
    </row>
    <row r="769" spans="49:49" ht="18.600000000000001" customHeight="1" x14ac:dyDescent="0.25">
      <c r="AW769"/>
    </row>
    <row r="770" spans="49:49" ht="18.600000000000001" customHeight="1" x14ac:dyDescent="0.25">
      <c r="AW770"/>
    </row>
    <row r="771" spans="49:49" ht="18.600000000000001" customHeight="1" x14ac:dyDescent="0.25">
      <c r="AW771"/>
    </row>
    <row r="772" spans="49:49" ht="18.600000000000001" customHeight="1" x14ac:dyDescent="0.25">
      <c r="AW772"/>
    </row>
    <row r="773" spans="49:49" ht="18.600000000000001" customHeight="1" x14ac:dyDescent="0.25">
      <c r="AW773"/>
    </row>
    <row r="774" spans="49:49" ht="18.600000000000001" customHeight="1" x14ac:dyDescent="0.25">
      <c r="AW774"/>
    </row>
    <row r="775" spans="49:49" ht="18.600000000000001" customHeight="1" x14ac:dyDescent="0.25">
      <c r="AW775"/>
    </row>
    <row r="776" spans="49:49" ht="18.600000000000001" customHeight="1" x14ac:dyDescent="0.25">
      <c r="AW776"/>
    </row>
    <row r="777" spans="49:49" ht="18.600000000000001" customHeight="1" x14ac:dyDescent="0.25">
      <c r="AW777"/>
    </row>
    <row r="778" spans="49:49" ht="18.600000000000001" customHeight="1" x14ac:dyDescent="0.25">
      <c r="AW778"/>
    </row>
    <row r="779" spans="49:49" ht="18.600000000000001" customHeight="1" x14ac:dyDescent="0.25">
      <c r="AW779"/>
    </row>
    <row r="780" spans="49:49" ht="18.600000000000001" customHeight="1" x14ac:dyDescent="0.25">
      <c r="AW780"/>
    </row>
    <row r="781" spans="49:49" ht="18.600000000000001" customHeight="1" x14ac:dyDescent="0.25">
      <c r="AW781"/>
    </row>
    <row r="782" spans="49:49" ht="18.600000000000001" customHeight="1" x14ac:dyDescent="0.25">
      <c r="AW782"/>
    </row>
    <row r="783" spans="49:49" ht="18.600000000000001" customHeight="1" x14ac:dyDescent="0.25">
      <c r="AW783"/>
    </row>
    <row r="784" spans="49:49" ht="18.600000000000001" customHeight="1" x14ac:dyDescent="0.25">
      <c r="AW784"/>
    </row>
    <row r="785" spans="49:49" ht="18.600000000000001" customHeight="1" x14ac:dyDescent="0.25">
      <c r="AW785"/>
    </row>
    <row r="786" spans="49:49" ht="18.600000000000001" customHeight="1" x14ac:dyDescent="0.25">
      <c r="AW786"/>
    </row>
    <row r="787" spans="49:49" ht="18.600000000000001" customHeight="1" x14ac:dyDescent="0.25">
      <c r="AW787"/>
    </row>
    <row r="788" spans="49:49" ht="18.600000000000001" customHeight="1" x14ac:dyDescent="0.25">
      <c r="AW788"/>
    </row>
    <row r="789" spans="49:49" ht="18.600000000000001" customHeight="1" x14ac:dyDescent="0.25">
      <c r="AW789"/>
    </row>
    <row r="790" spans="49:49" ht="18.600000000000001" customHeight="1" x14ac:dyDescent="0.25">
      <c r="AW790"/>
    </row>
    <row r="791" spans="49:49" ht="18.600000000000001" customHeight="1" x14ac:dyDescent="0.25">
      <c r="AW791"/>
    </row>
    <row r="792" spans="49:49" ht="18.600000000000001" customHeight="1" x14ac:dyDescent="0.25">
      <c r="AW792"/>
    </row>
    <row r="793" spans="49:49" ht="18.600000000000001" customHeight="1" x14ac:dyDescent="0.25">
      <c r="AW793"/>
    </row>
    <row r="794" spans="49:49" ht="18.600000000000001" customHeight="1" x14ac:dyDescent="0.25">
      <c r="AW794"/>
    </row>
    <row r="795" spans="49:49" ht="18.600000000000001" customHeight="1" x14ac:dyDescent="0.25">
      <c r="AW795"/>
    </row>
    <row r="796" spans="49:49" ht="18.600000000000001" customHeight="1" x14ac:dyDescent="0.25">
      <c r="AW796"/>
    </row>
    <row r="797" spans="49:49" ht="18.600000000000001" customHeight="1" x14ac:dyDescent="0.25">
      <c r="AW797"/>
    </row>
    <row r="798" spans="49:49" ht="18.600000000000001" customHeight="1" x14ac:dyDescent="0.25">
      <c r="AW798"/>
    </row>
    <row r="799" spans="49:49" ht="18.600000000000001" customHeight="1" x14ac:dyDescent="0.25">
      <c r="AW799"/>
    </row>
    <row r="800" spans="49:49" ht="18.600000000000001" customHeight="1" x14ac:dyDescent="0.25">
      <c r="AW800"/>
    </row>
    <row r="801" spans="49:49" ht="18.600000000000001" customHeight="1" x14ac:dyDescent="0.25">
      <c r="AW801"/>
    </row>
    <row r="802" spans="49:49" ht="18.600000000000001" customHeight="1" x14ac:dyDescent="0.25">
      <c r="AW802"/>
    </row>
    <row r="803" spans="49:49" ht="18.600000000000001" customHeight="1" x14ac:dyDescent="0.25">
      <c r="AW803"/>
    </row>
    <row r="804" spans="49:49" ht="18.600000000000001" customHeight="1" x14ac:dyDescent="0.25">
      <c r="AW804"/>
    </row>
    <row r="805" spans="49:49" ht="18.600000000000001" customHeight="1" x14ac:dyDescent="0.25">
      <c r="AW805"/>
    </row>
    <row r="806" spans="49:49" ht="18.600000000000001" customHeight="1" x14ac:dyDescent="0.25">
      <c r="AW806"/>
    </row>
    <row r="807" spans="49:49" ht="18.600000000000001" customHeight="1" x14ac:dyDescent="0.25">
      <c r="AW807"/>
    </row>
    <row r="808" spans="49:49" ht="18.600000000000001" customHeight="1" x14ac:dyDescent="0.25">
      <c r="AW808"/>
    </row>
    <row r="809" spans="49:49" ht="18.600000000000001" customHeight="1" x14ac:dyDescent="0.25">
      <c r="AW809"/>
    </row>
    <row r="810" spans="49:49" ht="18.600000000000001" customHeight="1" x14ac:dyDescent="0.25">
      <c r="AW810"/>
    </row>
    <row r="811" spans="49:49" ht="18.600000000000001" customHeight="1" x14ac:dyDescent="0.25">
      <c r="AW811"/>
    </row>
    <row r="812" spans="49:49" ht="18.600000000000001" customHeight="1" x14ac:dyDescent="0.25">
      <c r="AW812"/>
    </row>
    <row r="813" spans="49:49" ht="18.600000000000001" customHeight="1" x14ac:dyDescent="0.25">
      <c r="AW813"/>
    </row>
    <row r="814" spans="49:49" ht="18.600000000000001" customHeight="1" x14ac:dyDescent="0.25">
      <c r="AW814"/>
    </row>
    <row r="815" spans="49:49" ht="18.600000000000001" customHeight="1" x14ac:dyDescent="0.25">
      <c r="AW815"/>
    </row>
    <row r="816" spans="49:49" ht="18.600000000000001" customHeight="1" x14ac:dyDescent="0.25">
      <c r="AW816"/>
    </row>
    <row r="817" spans="49:49" ht="18.600000000000001" customHeight="1" x14ac:dyDescent="0.25">
      <c r="AW817"/>
    </row>
    <row r="818" spans="49:49" ht="18.600000000000001" customHeight="1" x14ac:dyDescent="0.25">
      <c r="AW818"/>
    </row>
    <row r="819" spans="49:49" ht="18.600000000000001" customHeight="1" x14ac:dyDescent="0.25">
      <c r="AW819"/>
    </row>
    <row r="820" spans="49:49" ht="18.600000000000001" customHeight="1" x14ac:dyDescent="0.25">
      <c r="AW820"/>
    </row>
    <row r="821" spans="49:49" ht="18.600000000000001" customHeight="1" x14ac:dyDescent="0.25">
      <c r="AW821"/>
    </row>
    <row r="822" spans="49:49" ht="18.600000000000001" customHeight="1" x14ac:dyDescent="0.25">
      <c r="AW822"/>
    </row>
    <row r="823" spans="49:49" ht="18.600000000000001" customHeight="1" x14ac:dyDescent="0.25">
      <c r="AW823"/>
    </row>
    <row r="824" spans="49:49" ht="18.600000000000001" customHeight="1" x14ac:dyDescent="0.25">
      <c r="AW824"/>
    </row>
    <row r="825" spans="49:49" ht="18.600000000000001" customHeight="1" x14ac:dyDescent="0.25">
      <c r="AW825"/>
    </row>
    <row r="826" spans="49:49" ht="18.600000000000001" customHeight="1" x14ac:dyDescent="0.25">
      <c r="AW826"/>
    </row>
    <row r="827" spans="49:49" ht="18.600000000000001" customHeight="1" x14ac:dyDescent="0.25">
      <c r="AW827"/>
    </row>
    <row r="828" spans="49:49" ht="18.600000000000001" customHeight="1" x14ac:dyDescent="0.25">
      <c r="AW828"/>
    </row>
    <row r="829" spans="49:49" ht="18.600000000000001" customHeight="1" x14ac:dyDescent="0.25">
      <c r="AW829"/>
    </row>
    <row r="830" spans="49:49" ht="18.600000000000001" customHeight="1" x14ac:dyDescent="0.25">
      <c r="AW830"/>
    </row>
    <row r="831" spans="49:49" ht="18.600000000000001" customHeight="1" x14ac:dyDescent="0.25">
      <c r="AW831"/>
    </row>
    <row r="832" spans="49:49" ht="18.600000000000001" customHeight="1" x14ac:dyDescent="0.25">
      <c r="AW832"/>
    </row>
    <row r="833" spans="49:49" ht="18.600000000000001" customHeight="1" x14ac:dyDescent="0.25">
      <c r="AW833"/>
    </row>
    <row r="834" spans="49:49" ht="18.600000000000001" customHeight="1" x14ac:dyDescent="0.25">
      <c r="AW834"/>
    </row>
    <row r="835" spans="49:49" ht="18.600000000000001" customHeight="1" x14ac:dyDescent="0.25">
      <c r="AW835"/>
    </row>
    <row r="836" spans="49:49" ht="18.600000000000001" customHeight="1" x14ac:dyDescent="0.25">
      <c r="AW836"/>
    </row>
    <row r="837" spans="49:49" ht="18.600000000000001" customHeight="1" x14ac:dyDescent="0.25">
      <c r="AW837"/>
    </row>
    <row r="838" spans="49:49" ht="18.600000000000001" customHeight="1" x14ac:dyDescent="0.25">
      <c r="AW838"/>
    </row>
    <row r="839" spans="49:49" ht="18.600000000000001" customHeight="1" x14ac:dyDescent="0.25">
      <c r="AW839"/>
    </row>
    <row r="840" spans="49:49" ht="18.600000000000001" customHeight="1" x14ac:dyDescent="0.25">
      <c r="AW840"/>
    </row>
    <row r="841" spans="49:49" ht="18.600000000000001" customHeight="1" x14ac:dyDescent="0.25">
      <c r="AW841"/>
    </row>
    <row r="842" spans="49:49" ht="18.600000000000001" customHeight="1" x14ac:dyDescent="0.25">
      <c r="AW842"/>
    </row>
    <row r="843" spans="49:49" ht="18.600000000000001" customHeight="1" x14ac:dyDescent="0.25">
      <c r="AW843"/>
    </row>
    <row r="844" spans="49:49" ht="18.600000000000001" customHeight="1" x14ac:dyDescent="0.25">
      <c r="AW844"/>
    </row>
    <row r="845" spans="49:49" ht="18.600000000000001" customHeight="1" x14ac:dyDescent="0.25">
      <c r="AW845"/>
    </row>
    <row r="846" spans="49:49" ht="18.600000000000001" customHeight="1" x14ac:dyDescent="0.25">
      <c r="AW846"/>
    </row>
    <row r="847" spans="49:49" ht="18.600000000000001" customHeight="1" x14ac:dyDescent="0.25">
      <c r="AW847"/>
    </row>
    <row r="848" spans="49:49" ht="18.600000000000001" customHeight="1" x14ac:dyDescent="0.25">
      <c r="AW848"/>
    </row>
    <row r="849" spans="49:49" ht="18.600000000000001" customHeight="1" x14ac:dyDescent="0.25">
      <c r="AW849"/>
    </row>
    <row r="850" spans="49:49" ht="18.600000000000001" customHeight="1" x14ac:dyDescent="0.25">
      <c r="AW850"/>
    </row>
    <row r="851" spans="49:49" ht="18.600000000000001" customHeight="1" x14ac:dyDescent="0.25">
      <c r="AW851"/>
    </row>
    <row r="852" spans="49:49" ht="18.600000000000001" customHeight="1" x14ac:dyDescent="0.25">
      <c r="AW852"/>
    </row>
    <row r="853" spans="49:49" ht="18.600000000000001" customHeight="1" x14ac:dyDescent="0.25">
      <c r="AW853"/>
    </row>
    <row r="854" spans="49:49" ht="18.600000000000001" customHeight="1" x14ac:dyDescent="0.25">
      <c r="AW854"/>
    </row>
    <row r="855" spans="49:49" ht="18.600000000000001" customHeight="1" x14ac:dyDescent="0.25">
      <c r="AW855"/>
    </row>
    <row r="856" spans="49:49" ht="18.600000000000001" customHeight="1" x14ac:dyDescent="0.25">
      <c r="AW856"/>
    </row>
    <row r="857" spans="49:49" ht="18.600000000000001" customHeight="1" x14ac:dyDescent="0.25">
      <c r="AW857"/>
    </row>
    <row r="858" spans="49:49" ht="18.600000000000001" customHeight="1" x14ac:dyDescent="0.25">
      <c r="AW858"/>
    </row>
    <row r="859" spans="49:49" ht="18.600000000000001" customHeight="1" x14ac:dyDescent="0.25">
      <c r="AW859"/>
    </row>
    <row r="860" spans="49:49" ht="18.600000000000001" customHeight="1" x14ac:dyDescent="0.25">
      <c r="AW860"/>
    </row>
    <row r="861" spans="49:49" ht="18.600000000000001" customHeight="1" x14ac:dyDescent="0.25">
      <c r="AW861"/>
    </row>
    <row r="862" spans="49:49" ht="18.600000000000001" customHeight="1" x14ac:dyDescent="0.25">
      <c r="AW862"/>
    </row>
    <row r="863" spans="49:49" ht="18.600000000000001" customHeight="1" x14ac:dyDescent="0.25">
      <c r="AW863"/>
    </row>
    <row r="864" spans="49:49" ht="18.600000000000001" customHeight="1" x14ac:dyDescent="0.25">
      <c r="AW864"/>
    </row>
    <row r="865" spans="49:49" ht="18.600000000000001" customHeight="1" x14ac:dyDescent="0.25">
      <c r="AW865"/>
    </row>
    <row r="866" spans="49:49" ht="18.600000000000001" customHeight="1" x14ac:dyDescent="0.25">
      <c r="AW866"/>
    </row>
    <row r="867" spans="49:49" ht="18.600000000000001" customHeight="1" x14ac:dyDescent="0.25">
      <c r="AW867"/>
    </row>
    <row r="868" spans="49:49" ht="18.600000000000001" customHeight="1" x14ac:dyDescent="0.25">
      <c r="AW868"/>
    </row>
    <row r="869" spans="49:49" ht="18.600000000000001" customHeight="1" x14ac:dyDescent="0.25">
      <c r="AW869"/>
    </row>
    <row r="870" spans="49:49" ht="18.600000000000001" customHeight="1" x14ac:dyDescent="0.25">
      <c r="AW870"/>
    </row>
    <row r="871" spans="49:49" ht="18.600000000000001" customHeight="1" x14ac:dyDescent="0.25">
      <c r="AW871"/>
    </row>
    <row r="872" spans="49:49" ht="18.600000000000001" customHeight="1" x14ac:dyDescent="0.25">
      <c r="AW872"/>
    </row>
    <row r="873" spans="49:49" ht="18.600000000000001" customHeight="1" x14ac:dyDescent="0.25">
      <c r="AW873"/>
    </row>
    <row r="874" spans="49:49" ht="18.600000000000001" customHeight="1" x14ac:dyDescent="0.25">
      <c r="AW874"/>
    </row>
    <row r="875" spans="49:49" ht="18.600000000000001" customHeight="1" x14ac:dyDescent="0.25">
      <c r="AW875"/>
    </row>
    <row r="876" spans="49:49" ht="18.600000000000001" customHeight="1" x14ac:dyDescent="0.25">
      <c r="AW876"/>
    </row>
    <row r="877" spans="49:49" ht="18.600000000000001" customHeight="1" x14ac:dyDescent="0.25">
      <c r="AW877"/>
    </row>
    <row r="878" spans="49:49" ht="18.600000000000001" customHeight="1" x14ac:dyDescent="0.25">
      <c r="AW878"/>
    </row>
    <row r="879" spans="49:49" ht="18.600000000000001" customHeight="1" x14ac:dyDescent="0.25">
      <c r="AW879"/>
    </row>
    <row r="880" spans="49:49" ht="18.600000000000001" customHeight="1" x14ac:dyDescent="0.25">
      <c r="AW880"/>
    </row>
    <row r="881" spans="49:49" ht="18.600000000000001" customHeight="1" x14ac:dyDescent="0.25">
      <c r="AW881"/>
    </row>
    <row r="882" spans="49:49" ht="18.600000000000001" customHeight="1" x14ac:dyDescent="0.25">
      <c r="AW882"/>
    </row>
    <row r="883" spans="49:49" ht="18.600000000000001" customHeight="1" x14ac:dyDescent="0.25">
      <c r="AW883"/>
    </row>
    <row r="884" spans="49:49" ht="18.600000000000001" customHeight="1" x14ac:dyDescent="0.25">
      <c r="AW884"/>
    </row>
    <row r="885" spans="49:49" ht="18.600000000000001" customHeight="1" x14ac:dyDescent="0.25">
      <c r="AW885"/>
    </row>
    <row r="886" spans="49:49" ht="18.600000000000001" customHeight="1" x14ac:dyDescent="0.25">
      <c r="AW886"/>
    </row>
    <row r="887" spans="49:49" ht="18.600000000000001" customHeight="1" x14ac:dyDescent="0.25">
      <c r="AW887"/>
    </row>
    <row r="888" spans="49:49" ht="18.600000000000001" customHeight="1" x14ac:dyDescent="0.25">
      <c r="AW888"/>
    </row>
    <row r="889" spans="49:49" ht="18.600000000000001" customHeight="1" x14ac:dyDescent="0.25">
      <c r="AW889"/>
    </row>
    <row r="890" spans="49:49" ht="18.600000000000001" customHeight="1" x14ac:dyDescent="0.25">
      <c r="AW890"/>
    </row>
    <row r="891" spans="49:49" ht="18.600000000000001" customHeight="1" x14ac:dyDescent="0.25">
      <c r="AW891"/>
    </row>
    <row r="892" spans="49:49" ht="18.600000000000001" customHeight="1" x14ac:dyDescent="0.25">
      <c r="AW892"/>
    </row>
    <row r="893" spans="49:49" ht="18.600000000000001" customHeight="1" x14ac:dyDescent="0.25">
      <c r="AW893"/>
    </row>
    <row r="894" spans="49:49" ht="18.600000000000001" customHeight="1" x14ac:dyDescent="0.25">
      <c r="AW894"/>
    </row>
    <row r="895" spans="49:49" ht="18.600000000000001" customHeight="1" x14ac:dyDescent="0.25">
      <c r="AW895"/>
    </row>
    <row r="896" spans="49:49" ht="18.600000000000001" customHeight="1" x14ac:dyDescent="0.25">
      <c r="AW896"/>
    </row>
    <row r="897" spans="49:49" ht="18.600000000000001" customHeight="1" x14ac:dyDescent="0.25">
      <c r="AW897"/>
    </row>
    <row r="898" spans="49:49" ht="18.600000000000001" customHeight="1" x14ac:dyDescent="0.25">
      <c r="AW898"/>
    </row>
    <row r="899" spans="49:49" ht="18.600000000000001" customHeight="1" x14ac:dyDescent="0.25">
      <c r="AW899"/>
    </row>
    <row r="900" spans="49:49" ht="18.600000000000001" customHeight="1" x14ac:dyDescent="0.25">
      <c r="AW900"/>
    </row>
    <row r="901" spans="49:49" ht="18.600000000000001" customHeight="1" x14ac:dyDescent="0.25">
      <c r="AW901"/>
    </row>
    <row r="902" spans="49:49" ht="18.600000000000001" customHeight="1" x14ac:dyDescent="0.25">
      <c r="AW902"/>
    </row>
    <row r="903" spans="49:49" ht="18.600000000000001" customHeight="1" x14ac:dyDescent="0.25">
      <c r="AW903"/>
    </row>
    <row r="904" spans="49:49" ht="18.600000000000001" customHeight="1" x14ac:dyDescent="0.25">
      <c r="AW904"/>
    </row>
    <row r="905" spans="49:49" ht="18.600000000000001" customHeight="1" x14ac:dyDescent="0.25">
      <c r="AW905"/>
    </row>
    <row r="906" spans="49:49" ht="18.600000000000001" customHeight="1" x14ac:dyDescent="0.25">
      <c r="AW906"/>
    </row>
    <row r="907" spans="49:49" ht="18.600000000000001" customHeight="1" x14ac:dyDescent="0.25">
      <c r="AW907"/>
    </row>
    <row r="908" spans="49:49" ht="18.600000000000001" customHeight="1" x14ac:dyDescent="0.25">
      <c r="AW908"/>
    </row>
    <row r="909" spans="49:49" ht="18.600000000000001" customHeight="1" x14ac:dyDescent="0.25">
      <c r="AW909"/>
    </row>
    <row r="910" spans="49:49" ht="18.600000000000001" customHeight="1" x14ac:dyDescent="0.25">
      <c r="AW910"/>
    </row>
    <row r="911" spans="49:49" ht="18.600000000000001" customHeight="1" x14ac:dyDescent="0.25">
      <c r="AW911"/>
    </row>
    <row r="912" spans="49:49" ht="18.600000000000001" customHeight="1" x14ac:dyDescent="0.25">
      <c r="AW912"/>
    </row>
    <row r="913" spans="49:49" ht="18.600000000000001" customHeight="1" x14ac:dyDescent="0.25">
      <c r="AW913"/>
    </row>
    <row r="914" spans="49:49" ht="18.600000000000001" customHeight="1" x14ac:dyDescent="0.25">
      <c r="AW914"/>
    </row>
    <row r="915" spans="49:49" ht="18.600000000000001" customHeight="1" x14ac:dyDescent="0.25">
      <c r="AW915"/>
    </row>
    <row r="916" spans="49:49" ht="18.600000000000001" customHeight="1" x14ac:dyDescent="0.25">
      <c r="AW916"/>
    </row>
    <row r="917" spans="49:49" ht="18.600000000000001" customHeight="1" x14ac:dyDescent="0.25">
      <c r="AW917"/>
    </row>
    <row r="918" spans="49:49" ht="18.600000000000001" customHeight="1" x14ac:dyDescent="0.25">
      <c r="AW918"/>
    </row>
    <row r="919" spans="49:49" ht="18.600000000000001" customHeight="1" x14ac:dyDescent="0.25">
      <c r="AW919"/>
    </row>
    <row r="920" spans="49:49" ht="18.600000000000001" customHeight="1" x14ac:dyDescent="0.25">
      <c r="AW920"/>
    </row>
    <row r="921" spans="49:49" ht="18.600000000000001" customHeight="1" x14ac:dyDescent="0.25">
      <c r="AW921"/>
    </row>
    <row r="922" spans="49:49" ht="18.600000000000001" customHeight="1" x14ac:dyDescent="0.25">
      <c r="AW922"/>
    </row>
    <row r="923" spans="49:49" ht="18.600000000000001" customHeight="1" x14ac:dyDescent="0.25">
      <c r="AW923"/>
    </row>
    <row r="924" spans="49:49" ht="18.600000000000001" customHeight="1" x14ac:dyDescent="0.25">
      <c r="AW924"/>
    </row>
    <row r="925" spans="49:49" ht="18.600000000000001" customHeight="1" x14ac:dyDescent="0.25">
      <c r="AW925"/>
    </row>
    <row r="926" spans="49:49" ht="18.600000000000001" customHeight="1" x14ac:dyDescent="0.25">
      <c r="AW926"/>
    </row>
    <row r="927" spans="49:49" ht="18.600000000000001" customHeight="1" x14ac:dyDescent="0.25">
      <c r="AW927"/>
    </row>
    <row r="928" spans="49:49" ht="18.600000000000001" customHeight="1" x14ac:dyDescent="0.25">
      <c r="AW928"/>
    </row>
    <row r="929" spans="49:49" ht="18.600000000000001" customHeight="1" x14ac:dyDescent="0.25">
      <c r="AW929"/>
    </row>
    <row r="930" spans="49:49" ht="18.600000000000001" customHeight="1" x14ac:dyDescent="0.25">
      <c r="AW930"/>
    </row>
    <row r="931" spans="49:49" ht="18.600000000000001" customHeight="1" x14ac:dyDescent="0.25">
      <c r="AW931"/>
    </row>
    <row r="932" spans="49:49" ht="18.600000000000001" customHeight="1" x14ac:dyDescent="0.25">
      <c r="AW932"/>
    </row>
    <row r="933" spans="49:49" ht="18.600000000000001" customHeight="1" x14ac:dyDescent="0.25">
      <c r="AW933"/>
    </row>
    <row r="934" spans="49:49" ht="18.600000000000001" customHeight="1" x14ac:dyDescent="0.25">
      <c r="AW934"/>
    </row>
    <row r="935" spans="49:49" ht="18.600000000000001" customHeight="1" x14ac:dyDescent="0.25">
      <c r="AW935"/>
    </row>
    <row r="936" spans="49:49" ht="18.600000000000001" customHeight="1" x14ac:dyDescent="0.25">
      <c r="AW936"/>
    </row>
    <row r="937" spans="49:49" ht="18.600000000000001" customHeight="1" x14ac:dyDescent="0.25">
      <c r="AW937"/>
    </row>
    <row r="938" spans="49:49" ht="18.600000000000001" customHeight="1" x14ac:dyDescent="0.25">
      <c r="AW938"/>
    </row>
    <row r="939" spans="49:49" ht="18.600000000000001" customHeight="1" x14ac:dyDescent="0.25">
      <c r="AW939"/>
    </row>
    <row r="940" spans="49:49" ht="18.600000000000001" customHeight="1" x14ac:dyDescent="0.25">
      <c r="AW940"/>
    </row>
    <row r="941" spans="49:49" ht="18.600000000000001" customHeight="1" x14ac:dyDescent="0.25">
      <c r="AW941"/>
    </row>
    <row r="942" spans="49:49" ht="18.600000000000001" customHeight="1" x14ac:dyDescent="0.25">
      <c r="AW942"/>
    </row>
    <row r="943" spans="49:49" ht="18.600000000000001" customHeight="1" x14ac:dyDescent="0.25">
      <c r="AW943"/>
    </row>
    <row r="944" spans="49:49" ht="18.600000000000001" customHeight="1" x14ac:dyDescent="0.25">
      <c r="AW944"/>
    </row>
    <row r="945" spans="49:49" ht="18.600000000000001" customHeight="1" x14ac:dyDescent="0.25">
      <c r="AW945"/>
    </row>
    <row r="946" spans="49:49" ht="18.600000000000001" customHeight="1" x14ac:dyDescent="0.25">
      <c r="AW946"/>
    </row>
    <row r="947" spans="49:49" ht="18.600000000000001" customHeight="1" x14ac:dyDescent="0.25">
      <c r="AW947"/>
    </row>
    <row r="948" spans="49:49" ht="18.600000000000001" customHeight="1" x14ac:dyDescent="0.25">
      <c r="AW948"/>
    </row>
    <row r="949" spans="49:49" ht="18.600000000000001" customHeight="1" x14ac:dyDescent="0.25">
      <c r="AW949"/>
    </row>
    <row r="950" spans="49:49" ht="18.600000000000001" customHeight="1" x14ac:dyDescent="0.25">
      <c r="AW950"/>
    </row>
    <row r="951" spans="49:49" ht="18.600000000000001" customHeight="1" x14ac:dyDescent="0.25">
      <c r="AW951"/>
    </row>
    <row r="952" spans="49:49" ht="18.600000000000001" customHeight="1" x14ac:dyDescent="0.25">
      <c r="AW952"/>
    </row>
    <row r="953" spans="49:49" ht="18.600000000000001" customHeight="1" x14ac:dyDescent="0.25">
      <c r="AW953"/>
    </row>
    <row r="954" spans="49:49" ht="18.600000000000001" customHeight="1" x14ac:dyDescent="0.25">
      <c r="AW954"/>
    </row>
    <row r="955" spans="49:49" ht="18.600000000000001" customHeight="1" x14ac:dyDescent="0.25">
      <c r="AW955"/>
    </row>
    <row r="956" spans="49:49" ht="18.600000000000001" customHeight="1" x14ac:dyDescent="0.25">
      <c r="AW956"/>
    </row>
    <row r="957" spans="49:49" ht="18.600000000000001" customHeight="1" x14ac:dyDescent="0.25">
      <c r="AW957"/>
    </row>
    <row r="958" spans="49:49" ht="18.600000000000001" customHeight="1" x14ac:dyDescent="0.25">
      <c r="AW958"/>
    </row>
    <row r="959" spans="49:49" ht="18.600000000000001" customHeight="1" x14ac:dyDescent="0.25">
      <c r="AW959"/>
    </row>
    <row r="960" spans="49:49" ht="18.600000000000001" customHeight="1" x14ac:dyDescent="0.25">
      <c r="AW960"/>
    </row>
    <row r="961" spans="49:49" ht="18.600000000000001" customHeight="1" x14ac:dyDescent="0.25">
      <c r="AW961"/>
    </row>
    <row r="962" spans="49:49" ht="18.600000000000001" customHeight="1" x14ac:dyDescent="0.25">
      <c r="AW962"/>
    </row>
    <row r="963" spans="49:49" ht="18.600000000000001" customHeight="1" x14ac:dyDescent="0.25">
      <c r="AW963"/>
    </row>
    <row r="964" spans="49:49" ht="18.600000000000001" customHeight="1" x14ac:dyDescent="0.25">
      <c r="AW964"/>
    </row>
    <row r="965" spans="49:49" ht="18.600000000000001" customHeight="1" x14ac:dyDescent="0.25">
      <c r="AW965"/>
    </row>
    <row r="966" spans="49:49" ht="18.600000000000001" customHeight="1" x14ac:dyDescent="0.25">
      <c r="AW966"/>
    </row>
    <row r="967" spans="49:49" ht="18.600000000000001" customHeight="1" x14ac:dyDescent="0.25">
      <c r="AW967"/>
    </row>
    <row r="968" spans="49:49" ht="18.600000000000001" customHeight="1" x14ac:dyDescent="0.25">
      <c r="AW968"/>
    </row>
    <row r="969" spans="49:49" ht="18.600000000000001" customHeight="1" x14ac:dyDescent="0.25">
      <c r="AW969"/>
    </row>
    <row r="970" spans="49:49" ht="18.600000000000001" customHeight="1" x14ac:dyDescent="0.25">
      <c r="AW970"/>
    </row>
    <row r="971" spans="49:49" ht="18.600000000000001" customHeight="1" x14ac:dyDescent="0.25">
      <c r="AW971"/>
    </row>
    <row r="972" spans="49:49" ht="18.600000000000001" customHeight="1" x14ac:dyDescent="0.25">
      <c r="AW972"/>
    </row>
    <row r="973" spans="49:49" ht="18.600000000000001" customHeight="1" x14ac:dyDescent="0.25">
      <c r="AW973"/>
    </row>
    <row r="974" spans="49:49" ht="18.600000000000001" customHeight="1" x14ac:dyDescent="0.25">
      <c r="AW974"/>
    </row>
    <row r="975" spans="49:49" ht="18.600000000000001" customHeight="1" x14ac:dyDescent="0.25">
      <c r="AW975"/>
    </row>
    <row r="976" spans="49:49" ht="18.600000000000001" customHeight="1" x14ac:dyDescent="0.25">
      <c r="AW976"/>
    </row>
    <row r="977" spans="49:49" ht="18.600000000000001" customHeight="1" x14ac:dyDescent="0.25">
      <c r="AW977"/>
    </row>
    <row r="978" spans="49:49" ht="18.600000000000001" customHeight="1" x14ac:dyDescent="0.25">
      <c r="AW978"/>
    </row>
    <row r="979" spans="49:49" ht="18.600000000000001" customHeight="1" x14ac:dyDescent="0.25">
      <c r="AW979"/>
    </row>
    <row r="980" spans="49:49" ht="18.600000000000001" customHeight="1" x14ac:dyDescent="0.25">
      <c r="AW980"/>
    </row>
    <row r="981" spans="49:49" ht="18.600000000000001" customHeight="1" x14ac:dyDescent="0.25">
      <c r="AW981"/>
    </row>
    <row r="982" spans="49:49" ht="18.600000000000001" customHeight="1" x14ac:dyDescent="0.25">
      <c r="AW982"/>
    </row>
    <row r="983" spans="49:49" ht="18.600000000000001" customHeight="1" x14ac:dyDescent="0.25">
      <c r="AW983"/>
    </row>
    <row r="984" spans="49:49" ht="18.600000000000001" customHeight="1" x14ac:dyDescent="0.25">
      <c r="AW984"/>
    </row>
    <row r="985" spans="49:49" ht="18.600000000000001" customHeight="1" x14ac:dyDescent="0.25">
      <c r="AW985"/>
    </row>
    <row r="986" spans="49:49" ht="18.600000000000001" customHeight="1" x14ac:dyDescent="0.25">
      <c r="AW986"/>
    </row>
    <row r="987" spans="49:49" ht="18.600000000000001" customHeight="1" x14ac:dyDescent="0.25">
      <c r="AW987"/>
    </row>
    <row r="988" spans="49:49" ht="18.600000000000001" customHeight="1" x14ac:dyDescent="0.25">
      <c r="AW988"/>
    </row>
    <row r="989" spans="49:49" ht="18.600000000000001" customHeight="1" x14ac:dyDescent="0.25">
      <c r="AW989"/>
    </row>
    <row r="990" spans="49:49" ht="18.600000000000001" customHeight="1" x14ac:dyDescent="0.25">
      <c r="AW990"/>
    </row>
    <row r="991" spans="49:49" ht="18.600000000000001" customHeight="1" x14ac:dyDescent="0.25">
      <c r="AW991"/>
    </row>
    <row r="992" spans="49:49" ht="18.600000000000001" customHeight="1" x14ac:dyDescent="0.25">
      <c r="AW992"/>
    </row>
    <row r="993" spans="49:49" ht="18.600000000000001" customHeight="1" x14ac:dyDescent="0.25">
      <c r="AW993"/>
    </row>
    <row r="994" spans="49:49" ht="18.600000000000001" customHeight="1" x14ac:dyDescent="0.25">
      <c r="AW994"/>
    </row>
    <row r="995" spans="49:49" ht="18.600000000000001" customHeight="1" x14ac:dyDescent="0.25">
      <c r="AW995"/>
    </row>
    <row r="996" spans="49:49" ht="18.600000000000001" customHeight="1" x14ac:dyDescent="0.25">
      <c r="AW996"/>
    </row>
    <row r="997" spans="49:49" ht="18.600000000000001" customHeight="1" x14ac:dyDescent="0.25">
      <c r="AW997"/>
    </row>
    <row r="998" spans="49:49" ht="18.600000000000001" customHeight="1" x14ac:dyDescent="0.25">
      <c r="AW998"/>
    </row>
    <row r="999" spans="49:49" ht="18.600000000000001" customHeight="1" x14ac:dyDescent="0.25">
      <c r="AW999"/>
    </row>
    <row r="1000" spans="49:49" ht="18.600000000000001" customHeight="1" x14ac:dyDescent="0.25">
      <c r="AW1000"/>
    </row>
    <row r="1001" spans="49:49" ht="18.600000000000001" customHeight="1" x14ac:dyDescent="0.25">
      <c r="AW1001"/>
    </row>
    <row r="1002" spans="49:49" ht="18.600000000000001" customHeight="1" x14ac:dyDescent="0.25">
      <c r="AW1002"/>
    </row>
    <row r="1003" spans="49:49" ht="18.600000000000001" customHeight="1" x14ac:dyDescent="0.25">
      <c r="AW1003"/>
    </row>
    <row r="1004" spans="49:49" ht="18.600000000000001" customHeight="1" x14ac:dyDescent="0.25">
      <c r="AW1004"/>
    </row>
    <row r="1005" spans="49:49" ht="18.600000000000001" customHeight="1" x14ac:dyDescent="0.25">
      <c r="AW1005"/>
    </row>
    <row r="1006" spans="49:49" ht="18.600000000000001" customHeight="1" x14ac:dyDescent="0.25">
      <c r="AW1006"/>
    </row>
    <row r="1007" spans="49:49" ht="18.600000000000001" customHeight="1" x14ac:dyDescent="0.25">
      <c r="AW1007"/>
    </row>
    <row r="1008" spans="49:49" ht="18.600000000000001" customHeight="1" x14ac:dyDescent="0.25">
      <c r="AW1008"/>
    </row>
    <row r="1009" spans="49:49" ht="18.600000000000001" customHeight="1" x14ac:dyDescent="0.25">
      <c r="AW1009"/>
    </row>
    <row r="1010" spans="49:49" ht="18.600000000000001" customHeight="1" x14ac:dyDescent="0.25">
      <c r="AW1010"/>
    </row>
    <row r="1011" spans="49:49" ht="18.600000000000001" customHeight="1" x14ac:dyDescent="0.25">
      <c r="AW1011"/>
    </row>
    <row r="1012" spans="49:49" ht="18.600000000000001" customHeight="1" x14ac:dyDescent="0.25">
      <c r="AW1012"/>
    </row>
    <row r="1013" spans="49:49" ht="18.600000000000001" customHeight="1" x14ac:dyDescent="0.25">
      <c r="AW1013"/>
    </row>
    <row r="1014" spans="49:49" ht="18.600000000000001" customHeight="1" x14ac:dyDescent="0.25">
      <c r="AW1014"/>
    </row>
    <row r="1015" spans="49:49" ht="18.600000000000001" customHeight="1" x14ac:dyDescent="0.25">
      <c r="AW1015"/>
    </row>
    <row r="1016" spans="49:49" ht="18.600000000000001" customHeight="1" x14ac:dyDescent="0.25">
      <c r="AW1016"/>
    </row>
    <row r="1017" spans="49:49" ht="18.600000000000001" customHeight="1" x14ac:dyDescent="0.25">
      <c r="AW1017"/>
    </row>
    <row r="1018" spans="49:49" ht="18.600000000000001" customHeight="1" x14ac:dyDescent="0.25">
      <c r="AW1018"/>
    </row>
    <row r="1019" spans="49:49" ht="18.600000000000001" customHeight="1" x14ac:dyDescent="0.25">
      <c r="AW1019"/>
    </row>
    <row r="1020" spans="49:49" ht="18.600000000000001" customHeight="1" x14ac:dyDescent="0.25">
      <c r="AW1020"/>
    </row>
    <row r="1021" spans="49:49" ht="18.600000000000001" customHeight="1" x14ac:dyDescent="0.25">
      <c r="AW1021"/>
    </row>
    <row r="1022" spans="49:49" ht="18.600000000000001" customHeight="1" x14ac:dyDescent="0.25">
      <c r="AW1022"/>
    </row>
    <row r="1023" spans="49:49" ht="18.600000000000001" customHeight="1" x14ac:dyDescent="0.25">
      <c r="AW1023"/>
    </row>
    <row r="1024" spans="49:49" ht="18.600000000000001" customHeight="1" x14ac:dyDescent="0.25">
      <c r="AW1024"/>
    </row>
    <row r="1025" spans="49:49" ht="18.600000000000001" customHeight="1" x14ac:dyDescent="0.25">
      <c r="AW1025"/>
    </row>
    <row r="1026" spans="49:49" ht="18.600000000000001" customHeight="1" x14ac:dyDescent="0.25">
      <c r="AW1026"/>
    </row>
    <row r="1027" spans="49:49" ht="18.600000000000001" customHeight="1" x14ac:dyDescent="0.25">
      <c r="AW1027"/>
    </row>
    <row r="1028" spans="49:49" ht="18.600000000000001" customHeight="1" x14ac:dyDescent="0.25">
      <c r="AW1028"/>
    </row>
    <row r="1029" spans="49:49" ht="18.600000000000001" customHeight="1" x14ac:dyDescent="0.25">
      <c r="AW1029"/>
    </row>
    <row r="1030" spans="49:49" ht="18.600000000000001" customHeight="1" x14ac:dyDescent="0.25">
      <c r="AW1030"/>
    </row>
    <row r="1031" spans="49:49" ht="18.600000000000001" customHeight="1" x14ac:dyDescent="0.25">
      <c r="AW1031"/>
    </row>
    <row r="1032" spans="49:49" ht="18.600000000000001" customHeight="1" x14ac:dyDescent="0.25">
      <c r="AW1032"/>
    </row>
    <row r="1033" spans="49:49" ht="18.600000000000001" customHeight="1" x14ac:dyDescent="0.25">
      <c r="AW1033"/>
    </row>
    <row r="1034" spans="49:49" ht="18.600000000000001" customHeight="1" x14ac:dyDescent="0.25">
      <c r="AW1034"/>
    </row>
    <row r="1035" spans="49:49" ht="18.600000000000001" customHeight="1" x14ac:dyDescent="0.25">
      <c r="AW1035"/>
    </row>
  </sheetData>
  <mergeCells count="352">
    <mergeCell ref="D262:E262"/>
    <mergeCell ref="D235:E235"/>
    <mergeCell ref="D233:E233"/>
    <mergeCell ref="D226:E226"/>
    <mergeCell ref="D231:E231"/>
    <mergeCell ref="D237:E237"/>
    <mergeCell ref="BC237:BC238"/>
    <mergeCell ref="BD237:BD238"/>
    <mergeCell ref="BE237:BE238"/>
    <mergeCell ref="D242:E242"/>
    <mergeCell ref="AL243:AL244"/>
    <mergeCell ref="AM243:AM244"/>
    <mergeCell ref="AN243:AN244"/>
    <mergeCell ref="AT243:AT244"/>
    <mergeCell ref="AU243:AU244"/>
    <mergeCell ref="BA243:BA244"/>
    <mergeCell ref="BB243:BB244"/>
    <mergeCell ref="BC243:BC244"/>
    <mergeCell ref="BD243:BD244"/>
    <mergeCell ref="BE243:BE244"/>
    <mergeCell ref="AL247:AL251"/>
    <mergeCell ref="AM247:AM251"/>
    <mergeCell ref="AN247:AN251"/>
    <mergeCell ref="AT247:AT251"/>
    <mergeCell ref="BD220:BD221"/>
    <mergeCell ref="BE220:BE221"/>
    <mergeCell ref="D229:E229"/>
    <mergeCell ref="D223:E223"/>
    <mergeCell ref="D217:E217"/>
    <mergeCell ref="BC217:BC218"/>
    <mergeCell ref="BD217:BD218"/>
    <mergeCell ref="BE217:BE218"/>
    <mergeCell ref="AU161:AU162"/>
    <mergeCell ref="BA161:BA162"/>
    <mergeCell ref="BB161:BB162"/>
    <mergeCell ref="BB213:BB215"/>
    <mergeCell ref="BC213:BC215"/>
    <mergeCell ref="D220:E220"/>
    <mergeCell ref="BC220:BC221"/>
    <mergeCell ref="D166:E166"/>
    <mergeCell ref="AU180:AU182"/>
    <mergeCell ref="AU176:AU177"/>
    <mergeCell ref="D184:E184"/>
    <mergeCell ref="BC176:BC177"/>
    <mergeCell ref="D188:E188"/>
    <mergeCell ref="BC201:BC204"/>
    <mergeCell ref="D206:E206"/>
    <mergeCell ref="BC192:BC193"/>
    <mergeCell ref="BC161:BC162"/>
    <mergeCell ref="AM161:AM162"/>
    <mergeCell ref="AN161:AN162"/>
    <mergeCell ref="AT161:AT162"/>
    <mergeCell ref="D164:E164"/>
    <mergeCell ref="D165:E165"/>
    <mergeCell ref="BA180:BA182"/>
    <mergeCell ref="BF106:BF107"/>
    <mergeCell ref="AL107:AL109"/>
    <mergeCell ref="BB152:BB154"/>
    <mergeCell ref="AU152:AU154"/>
    <mergeCell ref="BA152:BA154"/>
    <mergeCell ref="D144:E144"/>
    <mergeCell ref="AM117:AM124"/>
    <mergeCell ref="AN117:AN124"/>
    <mergeCell ref="D147:E147"/>
    <mergeCell ref="D151:E151"/>
    <mergeCell ref="AL152:AL154"/>
    <mergeCell ref="AM152:AM154"/>
    <mergeCell ref="AN152:AN154"/>
    <mergeCell ref="AT152:AT154"/>
    <mergeCell ref="D160:E160"/>
    <mergeCell ref="D156:E156"/>
    <mergeCell ref="BA157:BA158"/>
    <mergeCell ref="BE84:BE88"/>
    <mergeCell ref="BC97:BC98"/>
    <mergeCell ref="BD97:BD98"/>
    <mergeCell ref="BE97:BE98"/>
    <mergeCell ref="BC157:BC158"/>
    <mergeCell ref="BD157:BD158"/>
    <mergeCell ref="BE157:BE158"/>
    <mergeCell ref="BE107:BE109"/>
    <mergeCell ref="BC152:BC154"/>
    <mergeCell ref="BD152:BD154"/>
    <mergeCell ref="BE152:BE154"/>
    <mergeCell ref="BB157:BB158"/>
    <mergeCell ref="AU157:AU158"/>
    <mergeCell ref="AN97:AN98"/>
    <mergeCell ref="AT97:AT98"/>
    <mergeCell ref="AV8:BB8"/>
    <mergeCell ref="BC8:BE8"/>
    <mergeCell ref="AO8:AU8"/>
    <mergeCell ref="AQ9:AR9"/>
    <mergeCell ref="AV9:AW9"/>
    <mergeCell ref="AX9:AY9"/>
    <mergeCell ref="BE16:BE19"/>
    <mergeCell ref="BB31:BB33"/>
    <mergeCell ref="BC31:BC33"/>
    <mergeCell ref="BD31:BD33"/>
    <mergeCell ref="BE31:BE33"/>
    <mergeCell ref="BD47:BD50"/>
    <mergeCell ref="BE42:BE44"/>
    <mergeCell ref="BC47:BC50"/>
    <mergeCell ref="BA80:BA81"/>
    <mergeCell ref="BB80:BB81"/>
    <mergeCell ref="BC84:BC88"/>
    <mergeCell ref="BC80:BC81"/>
    <mergeCell ref="BD80:BD81"/>
    <mergeCell ref="AU97:AU98"/>
    <mergeCell ref="A9:A10"/>
    <mergeCell ref="B9:C9"/>
    <mergeCell ref="Q9:Q10"/>
    <mergeCell ref="R9:R10"/>
    <mergeCell ref="S9:S10"/>
    <mergeCell ref="AG9:AH9"/>
    <mergeCell ref="AI9:AJ9"/>
    <mergeCell ref="K8:K10"/>
    <mergeCell ref="M8:N8"/>
    <mergeCell ref="O8:P8"/>
    <mergeCell ref="Q8:W8"/>
    <mergeCell ref="X8:AB8"/>
    <mergeCell ref="V9:V10"/>
    <mergeCell ref="W9:W10"/>
    <mergeCell ref="Y9:Y10"/>
    <mergeCell ref="AC8:AN8"/>
    <mergeCell ref="AC9:AD9"/>
    <mergeCell ref="T9:T10"/>
    <mergeCell ref="U9:U10"/>
    <mergeCell ref="X9:X10"/>
    <mergeCell ref="D15:E15"/>
    <mergeCell ref="AL16:AL19"/>
    <mergeCell ref="AM16:AM19"/>
    <mergeCell ref="AN16:AN19"/>
    <mergeCell ref="AL9:AL10"/>
    <mergeCell ref="AO9:AP9"/>
    <mergeCell ref="Z9:Z10"/>
    <mergeCell ref="AA9:AA10"/>
    <mergeCell ref="AE9:AF9"/>
    <mergeCell ref="D21:E21"/>
    <mergeCell ref="D24:E24"/>
    <mergeCell ref="BF24:BF25"/>
    <mergeCell ref="D27:E27"/>
    <mergeCell ref="D30:E30"/>
    <mergeCell ref="AT16:AT19"/>
    <mergeCell ref="AU16:AU19"/>
    <mergeCell ref="BA16:BA19"/>
    <mergeCell ref="BB16:BB19"/>
    <mergeCell ref="BC16:BC19"/>
    <mergeCell ref="BD16:BD19"/>
    <mergeCell ref="D35:E35"/>
    <mergeCell ref="D38:E38"/>
    <mergeCell ref="AL31:AL33"/>
    <mergeCell ref="AM31:AM33"/>
    <mergeCell ref="AN31:AN33"/>
    <mergeCell ref="AT31:AT33"/>
    <mergeCell ref="AU31:AU33"/>
    <mergeCell ref="BA31:BA33"/>
    <mergeCell ref="BD42:BD44"/>
    <mergeCell ref="BA42:BA44"/>
    <mergeCell ref="BB42:BB44"/>
    <mergeCell ref="BC42:BC44"/>
    <mergeCell ref="D46:E46"/>
    <mergeCell ref="D41:E41"/>
    <mergeCell ref="AL42:AL44"/>
    <mergeCell ref="AM42:AM44"/>
    <mergeCell ref="AN42:AN44"/>
    <mergeCell ref="AT42:AT44"/>
    <mergeCell ref="AU42:AU44"/>
    <mergeCell ref="D52:E52"/>
    <mergeCell ref="D55:E55"/>
    <mergeCell ref="AL47:AL50"/>
    <mergeCell ref="AM47:AM50"/>
    <mergeCell ref="AN47:AN50"/>
    <mergeCell ref="AT47:AT50"/>
    <mergeCell ref="AL56:AL58"/>
    <mergeCell ref="AM56:AM58"/>
    <mergeCell ref="AN56:AN58"/>
    <mergeCell ref="AT56:AT58"/>
    <mergeCell ref="BE47:BE50"/>
    <mergeCell ref="AU47:AU50"/>
    <mergeCell ref="BA47:BA50"/>
    <mergeCell ref="BD56:BD58"/>
    <mergeCell ref="BE56:BE58"/>
    <mergeCell ref="AU56:AU58"/>
    <mergeCell ref="BA56:BA58"/>
    <mergeCell ref="BB56:BB58"/>
    <mergeCell ref="BC56:BC58"/>
    <mergeCell ref="BB47:BB50"/>
    <mergeCell ref="D73:E73"/>
    <mergeCell ref="D76:E76"/>
    <mergeCell ref="D79:E79"/>
    <mergeCell ref="AL80:AL81"/>
    <mergeCell ref="AM80:AM81"/>
    <mergeCell ref="AN80:AN81"/>
    <mergeCell ref="D60:E60"/>
    <mergeCell ref="D63:E63"/>
    <mergeCell ref="AU117:AU124"/>
    <mergeCell ref="AL64:AL71"/>
    <mergeCell ref="AM64:AM71"/>
    <mergeCell ref="AN64:AN71"/>
    <mergeCell ref="AT64:AT71"/>
    <mergeCell ref="AU64:AU71"/>
    <mergeCell ref="AT117:AT124"/>
    <mergeCell ref="D100:E100"/>
    <mergeCell ref="D103:E103"/>
    <mergeCell ref="D106:E106"/>
    <mergeCell ref="AT80:AT81"/>
    <mergeCell ref="AU80:AU81"/>
    <mergeCell ref="D93:E93"/>
    <mergeCell ref="D96:E96"/>
    <mergeCell ref="AL97:AL98"/>
    <mergeCell ref="AM97:AM98"/>
    <mergeCell ref="D83:E83"/>
    <mergeCell ref="AL84:AL88"/>
    <mergeCell ref="AM84:AM88"/>
    <mergeCell ref="AN84:AN88"/>
    <mergeCell ref="AT84:AT88"/>
    <mergeCell ref="AU84:AU88"/>
    <mergeCell ref="BA84:BA88"/>
    <mergeCell ref="BB84:BB88"/>
    <mergeCell ref="BD84:BD88"/>
    <mergeCell ref="BA97:BA98"/>
    <mergeCell ref="BB97:BB98"/>
    <mergeCell ref="D129:E129"/>
    <mergeCell ref="D132:E132"/>
    <mergeCell ref="BD107:BD109"/>
    <mergeCell ref="D135:E135"/>
    <mergeCell ref="D138:E138"/>
    <mergeCell ref="D141:E141"/>
    <mergeCell ref="BA117:BA124"/>
    <mergeCell ref="BB117:BB124"/>
    <mergeCell ref="BC117:BC124"/>
    <mergeCell ref="D126:E126"/>
    <mergeCell ref="D111:E111"/>
    <mergeCell ref="D114:E114"/>
    <mergeCell ref="AM107:AM109"/>
    <mergeCell ref="AN107:AN109"/>
    <mergeCell ref="AT107:AT109"/>
    <mergeCell ref="AU107:AU109"/>
    <mergeCell ref="BA107:BA109"/>
    <mergeCell ref="BB107:BB109"/>
    <mergeCell ref="BC107:BC109"/>
    <mergeCell ref="D116:E116"/>
    <mergeCell ref="AL117:AL124"/>
    <mergeCell ref="AL157:AL158"/>
    <mergeCell ref="AM157:AM158"/>
    <mergeCell ref="AT157:AT158"/>
    <mergeCell ref="AN157:AN158"/>
    <mergeCell ref="A180:A181"/>
    <mergeCell ref="AL180:AL182"/>
    <mergeCell ref="AM180:AM182"/>
    <mergeCell ref="AN180:AN182"/>
    <mergeCell ref="AT180:AT182"/>
    <mergeCell ref="D175:E175"/>
    <mergeCell ref="AL176:AL177"/>
    <mergeCell ref="AM176:AM177"/>
    <mergeCell ref="AN176:AN177"/>
    <mergeCell ref="AT176:AT177"/>
    <mergeCell ref="D179:E179"/>
    <mergeCell ref="AL161:AL162"/>
    <mergeCell ref="BB176:BB177"/>
    <mergeCell ref="A167:A169"/>
    <mergeCell ref="AL167:AL173"/>
    <mergeCell ref="AM167:AM173"/>
    <mergeCell ref="AN167:AN173"/>
    <mergeCell ref="AT167:AT173"/>
    <mergeCell ref="A170:A173"/>
    <mergeCell ref="AU167:AU173"/>
    <mergeCell ref="BA167:BA173"/>
    <mergeCell ref="BB167:BB173"/>
    <mergeCell ref="BF188:BF189"/>
    <mergeCell ref="AL185:AL186"/>
    <mergeCell ref="AM185:AM186"/>
    <mergeCell ref="AN185:AN186"/>
    <mergeCell ref="AT185:AT186"/>
    <mergeCell ref="D195:E195"/>
    <mergeCell ref="BF195:BF196"/>
    <mergeCell ref="AU185:AU186"/>
    <mergeCell ref="BA185:BA186"/>
    <mergeCell ref="D191:E191"/>
    <mergeCell ref="AL192:AL193"/>
    <mergeCell ref="AM192:AM193"/>
    <mergeCell ref="AN192:AN193"/>
    <mergeCell ref="AT192:AT193"/>
    <mergeCell ref="AU192:AU193"/>
    <mergeCell ref="BA192:BA193"/>
    <mergeCell ref="BE192:BE193"/>
    <mergeCell ref="BB192:BB193"/>
    <mergeCell ref="BD192:BD193"/>
    <mergeCell ref="D198:E198"/>
    <mergeCell ref="BE201:BE204"/>
    <mergeCell ref="D199:E199"/>
    <mergeCell ref="D200:E200"/>
    <mergeCell ref="AL201:AL204"/>
    <mergeCell ref="AM201:AM204"/>
    <mergeCell ref="BD213:BD215"/>
    <mergeCell ref="BE213:BE215"/>
    <mergeCell ref="AU213:AU215"/>
    <mergeCell ref="BD201:BD204"/>
    <mergeCell ref="AN201:AN204"/>
    <mergeCell ref="AT201:AT204"/>
    <mergeCell ref="AU201:AU204"/>
    <mergeCell ref="BA201:BA204"/>
    <mergeCell ref="BB201:BB204"/>
    <mergeCell ref="AL213:AL215"/>
    <mergeCell ref="AM213:AM215"/>
    <mergeCell ref="AN213:AN215"/>
    <mergeCell ref="AT213:AT215"/>
    <mergeCell ref="BA213:BA215"/>
    <mergeCell ref="BA64:BA71"/>
    <mergeCell ref="BB64:BB71"/>
    <mergeCell ref="BC64:BC71"/>
    <mergeCell ref="BD64:BD71"/>
    <mergeCell ref="BE64:BE71"/>
    <mergeCell ref="BB185:BB186"/>
    <mergeCell ref="BC185:BC186"/>
    <mergeCell ref="BD185:BD186"/>
    <mergeCell ref="BE185:BE186"/>
    <mergeCell ref="BE180:BE182"/>
    <mergeCell ref="BC167:BC173"/>
    <mergeCell ref="BD167:BD173"/>
    <mergeCell ref="BE167:BE173"/>
    <mergeCell ref="BE117:BE124"/>
    <mergeCell ref="BD176:BD177"/>
    <mergeCell ref="BE176:BE177"/>
    <mergeCell ref="BE80:BE81"/>
    <mergeCell ref="BD117:BD124"/>
    <mergeCell ref="BD161:BD162"/>
    <mergeCell ref="BE161:BE162"/>
    <mergeCell ref="BB180:BB182"/>
    <mergeCell ref="BC180:BC182"/>
    <mergeCell ref="BD180:BD182"/>
    <mergeCell ref="BA176:BA177"/>
    <mergeCell ref="AU247:AU251"/>
    <mergeCell ref="BA247:BA251"/>
    <mergeCell ref="BB247:BB251"/>
    <mergeCell ref="BC247:BC251"/>
    <mergeCell ref="BD247:BD251"/>
    <mergeCell ref="BE247:BE251"/>
    <mergeCell ref="D259:E259"/>
    <mergeCell ref="BC259:BC260"/>
    <mergeCell ref="BD259:BD260"/>
    <mergeCell ref="BE259:BE260"/>
    <mergeCell ref="BD254:BD255"/>
    <mergeCell ref="BE254:BE255"/>
    <mergeCell ref="D253:E253"/>
    <mergeCell ref="AL254:AL255"/>
    <mergeCell ref="AM254:AM255"/>
    <mergeCell ref="AN254:AN255"/>
    <mergeCell ref="AT254:AT255"/>
    <mergeCell ref="AU254:AU255"/>
    <mergeCell ref="BA254:BA255"/>
    <mergeCell ref="BB254:BB255"/>
    <mergeCell ref="BC254:BC255"/>
  </mergeCells>
  <dataValidations count="12">
    <dataValidation type="list" allowBlank="1" showInputMessage="1" showErrorMessage="1" sqref="H200" xr:uid="{00000000-0002-0000-0200-000000000000}">
      <formula1>INDIRECT(#REF!&amp;"1999")</formula1>
    </dataValidation>
    <dataValidation type="list" allowBlank="1" showInputMessage="1" showErrorMessage="1" sqref="H201:H207 H236:H256 H150:H199 H88:H148 H230 H17:H83 H234 H228 H226 H211:H215 H258:H261 H217:H224" xr:uid="{00000000-0002-0000-0200-000001000000}">
      <formula1>INDIRECT($E17&amp;"1999")</formula1>
    </dataValidation>
    <dataValidation type="list" allowBlank="1" showInputMessage="1" showErrorMessage="1" sqref="I200" xr:uid="{00000000-0002-0000-0200-000002000000}">
      <formula1>INDIRECT(#REF!&amp;"CBP")</formula1>
    </dataValidation>
    <dataValidation type="list" allowBlank="1" showInputMessage="1" showErrorMessage="1" sqref="I201:I207 I236:I256 I17:I34 I88:I89 I150 I91:I148 I152:I199 I230 I36:I83 I234 I228 I211:I215 I258:I261 I217:I226" xr:uid="{00000000-0002-0000-0200-000003000000}">
      <formula1>INDIRECT($E17&amp;"CBP")</formula1>
    </dataValidation>
    <dataValidation type="list" allowBlank="1" showInputMessage="1" showErrorMessage="1" sqref="E207 E104 E16:E19 E22 E25 E28 E39 E142 E56:E58 E61 E74 E77 E117:E124 E157:E158 E94 E176:E177 E97:E98 E36 E112 E127 E31:E33 E136 E145 E14 E153:E154 E161:E162 E196 E107:E109 E189 E201:E204 E180:E182 E133 E47:E50 E91 E130 E139:E140 E42:E44 E53 E101 E84:E88 E80:E81 E148:E149 E167:E173 E227:E228 E230 E64:E71 E234 E236 E221:E222 E211:E216 E218 E238:E241 E258 E260:E261 E224:E225" xr:uid="{00000000-0002-0000-0200-000004000000}">
      <formula1>Common_Names</formula1>
    </dataValidation>
    <dataValidation type="list" allowBlank="1" showInputMessage="1" showErrorMessage="1" sqref="H16" xr:uid="{00000000-0002-0000-0200-000005000000}">
      <formula1>INDIRECT($E$16&amp;"1999")</formula1>
    </dataValidation>
    <dataValidation type="list" allowBlank="1" showInputMessage="1" showErrorMessage="1" sqref="I16" xr:uid="{00000000-0002-0000-0200-000006000000}">
      <formula1>INDIRECT($E$16&amp;"CBP")</formula1>
    </dataValidation>
    <dataValidation type="list" allowBlank="1" showInputMessage="1" showErrorMessage="1" sqref="H14" xr:uid="{00000000-0002-0000-0200-000007000000}">
      <formula1>INDIRECT($E$14&amp;"1999")</formula1>
    </dataValidation>
    <dataValidation type="list" allowBlank="1" showInputMessage="1" showErrorMessage="1" sqref="I14" xr:uid="{00000000-0002-0000-0200-000008000000}">
      <formula1>INDIRECT($E$14&amp;"CBP")</formula1>
    </dataValidation>
    <dataValidation type="list" allowBlank="1" showInputMessage="1" showErrorMessage="1" sqref="I84:I87" xr:uid="{00000000-0002-0000-0200-000009000000}">
      <formula1>INDIRECT($C84&amp;"CBP")</formula1>
    </dataValidation>
    <dataValidation type="list" allowBlank="1" showInputMessage="1" showErrorMessage="1" sqref="H84:H87" xr:uid="{00000000-0002-0000-0200-00000A000000}">
      <formula1>INDIRECT($C84&amp;"1999")</formula1>
    </dataValidation>
    <dataValidation type="list" allowBlank="1" showInputMessage="1" showErrorMessage="1" sqref="E243:E252 E254:E256" xr:uid="{F6362A80-A8E4-4076-936A-B19195E968F6}">
      <formula1>common2</formula1>
    </dataValidation>
  </dataValidations>
  <pageMargins left="0.7" right="0.7" top="0.75" bottom="0.75" header="0.3" footer="0.3"/>
  <pageSetup orientation="portrait" r:id="rId1"/>
  <ignoredErrors>
    <ignoredError sqref="AX197:AX207 AX16:AX62 AX89:AX148 AX150:AX157 AX173:AX193 AX171:AX172 AX159:AX169 AX72:AX81"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workbookViewId="0">
      <selection activeCell="C6" sqref="C6"/>
    </sheetView>
  </sheetViews>
  <sheetFormatPr defaultRowHeight="15" x14ac:dyDescent="0.25"/>
  <cols>
    <col min="1" max="1" width="19.42578125" customWidth="1"/>
    <col min="2" max="2" width="37.42578125" customWidth="1"/>
    <col min="3" max="3" width="41.85546875" customWidth="1"/>
    <col min="4" max="4" width="38.5703125" customWidth="1"/>
    <col min="5" max="5" width="34.5703125" customWidth="1"/>
    <col min="6" max="6" width="39.140625" customWidth="1"/>
  </cols>
  <sheetData>
    <row r="1" spans="1:6" ht="38.25" customHeight="1" thickBot="1" x14ac:dyDescent="0.3">
      <c r="A1" s="607" t="s">
        <v>133</v>
      </c>
      <c r="B1" s="607" t="s">
        <v>134</v>
      </c>
      <c r="C1" s="607" t="s">
        <v>135</v>
      </c>
      <c r="D1" s="813" t="s">
        <v>136</v>
      </c>
      <c r="E1" s="607" t="s">
        <v>137</v>
      </c>
      <c r="F1" s="607" t="s">
        <v>138</v>
      </c>
    </row>
    <row r="2" spans="1:6" ht="133.5" customHeight="1" x14ac:dyDescent="0.25">
      <c r="A2" s="1088" t="s">
        <v>139</v>
      </c>
      <c r="B2" s="996" t="s">
        <v>140</v>
      </c>
      <c r="C2" s="996" t="s">
        <v>141</v>
      </c>
      <c r="D2" s="996" t="s">
        <v>142</v>
      </c>
      <c r="E2" s="996" t="s">
        <v>143</v>
      </c>
      <c r="F2" s="996" t="s">
        <v>144</v>
      </c>
    </row>
    <row r="3" spans="1:6" ht="90" x14ac:dyDescent="0.25">
      <c r="A3" s="1089"/>
      <c r="B3" s="997" t="s">
        <v>145</v>
      </c>
      <c r="C3" s="997" t="s">
        <v>146</v>
      </c>
      <c r="D3" s="997" t="s">
        <v>147</v>
      </c>
      <c r="E3" s="997" t="s">
        <v>143</v>
      </c>
      <c r="F3" s="606" t="s">
        <v>148</v>
      </c>
    </row>
    <row r="4" spans="1:6" ht="120" x14ac:dyDescent="0.25">
      <c r="A4" s="1089" t="s">
        <v>149</v>
      </c>
      <c r="B4" s="997" t="s">
        <v>150</v>
      </c>
      <c r="C4" s="997" t="s">
        <v>151</v>
      </c>
      <c r="D4" s="997" t="s">
        <v>152</v>
      </c>
      <c r="E4" s="997" t="s">
        <v>153</v>
      </c>
      <c r="F4" s="606" t="s">
        <v>154</v>
      </c>
    </row>
    <row r="5" spans="1:6" ht="89.25" customHeight="1" x14ac:dyDescent="0.25">
      <c r="A5" s="1089"/>
      <c r="B5" s="997" t="s">
        <v>155</v>
      </c>
      <c r="C5" s="997" t="s">
        <v>156</v>
      </c>
      <c r="D5" s="997" t="s">
        <v>157</v>
      </c>
      <c r="E5" s="997" t="s">
        <v>158</v>
      </c>
      <c r="F5" s="606" t="s">
        <v>159</v>
      </c>
    </row>
    <row r="6" spans="1:6" ht="90" x14ac:dyDescent="0.25">
      <c r="A6" s="1089"/>
      <c r="B6" s="997" t="s">
        <v>160</v>
      </c>
      <c r="C6" s="997" t="s">
        <v>161</v>
      </c>
      <c r="D6" s="997" t="s">
        <v>162</v>
      </c>
      <c r="E6" s="997" t="s">
        <v>163</v>
      </c>
      <c r="F6" s="606" t="s">
        <v>164</v>
      </c>
    </row>
    <row r="7" spans="1:6" ht="183.75" customHeight="1" x14ac:dyDescent="0.25">
      <c r="A7" s="1089" t="s">
        <v>165</v>
      </c>
      <c r="B7" s="997" t="s">
        <v>166</v>
      </c>
      <c r="C7" s="997" t="s">
        <v>167</v>
      </c>
      <c r="D7" s="997" t="s">
        <v>168</v>
      </c>
      <c r="E7" s="997" t="s">
        <v>169</v>
      </c>
      <c r="F7" s="606" t="s">
        <v>170</v>
      </c>
    </row>
    <row r="8" spans="1:6" ht="136.5" customHeight="1" x14ac:dyDescent="0.25">
      <c r="A8" s="1089"/>
      <c r="B8" s="997" t="s">
        <v>171</v>
      </c>
      <c r="C8" s="997" t="s">
        <v>172</v>
      </c>
      <c r="D8" s="997" t="s">
        <v>173</v>
      </c>
      <c r="E8" s="997" t="s">
        <v>174</v>
      </c>
      <c r="F8" s="606" t="s">
        <v>175</v>
      </c>
    </row>
    <row r="9" spans="1:6" ht="90" x14ac:dyDescent="0.25">
      <c r="A9" s="1089"/>
      <c r="B9" s="997" t="s">
        <v>176</v>
      </c>
      <c r="C9" s="997" t="s">
        <v>156</v>
      </c>
      <c r="D9" s="997" t="s">
        <v>177</v>
      </c>
      <c r="E9" s="997" t="s">
        <v>178</v>
      </c>
      <c r="F9" s="606" t="s">
        <v>179</v>
      </c>
    </row>
    <row r="10" spans="1:6" ht="209.25" customHeight="1" x14ac:dyDescent="0.25">
      <c r="A10" s="997" t="s">
        <v>180</v>
      </c>
      <c r="B10" s="997" t="s">
        <v>181</v>
      </c>
      <c r="C10" s="997" t="s">
        <v>182</v>
      </c>
      <c r="D10" s="997" t="s">
        <v>183</v>
      </c>
      <c r="E10" s="997" t="s">
        <v>184</v>
      </c>
      <c r="F10" s="606" t="s">
        <v>185</v>
      </c>
    </row>
    <row r="11" spans="1:6" ht="84" customHeight="1" x14ac:dyDescent="0.25">
      <c r="A11" s="997" t="s">
        <v>186</v>
      </c>
      <c r="B11" s="997" t="s">
        <v>187</v>
      </c>
      <c r="C11" s="997" t="s">
        <v>188</v>
      </c>
      <c r="D11" s="997" t="s">
        <v>189</v>
      </c>
      <c r="E11" s="997" t="s">
        <v>143</v>
      </c>
      <c r="F11" s="606" t="s">
        <v>190</v>
      </c>
    </row>
    <row r="12" spans="1:6" ht="126.75" customHeight="1" x14ac:dyDescent="0.25">
      <c r="A12" s="997" t="s">
        <v>191</v>
      </c>
      <c r="B12" s="997" t="s">
        <v>192</v>
      </c>
      <c r="C12" s="997" t="s">
        <v>193</v>
      </c>
      <c r="D12" s="997" t="s">
        <v>194</v>
      </c>
      <c r="E12" s="997" t="s">
        <v>195</v>
      </c>
      <c r="F12" s="606" t="s">
        <v>196</v>
      </c>
    </row>
    <row r="13" spans="1:6" ht="89.25" customHeight="1" x14ac:dyDescent="0.25">
      <c r="A13" s="997" t="s">
        <v>197</v>
      </c>
      <c r="B13" s="997" t="s">
        <v>198</v>
      </c>
      <c r="C13" s="997" t="s">
        <v>199</v>
      </c>
      <c r="D13" s="997" t="s">
        <v>200</v>
      </c>
      <c r="E13" s="997" t="s">
        <v>143</v>
      </c>
      <c r="F13" s="606" t="s">
        <v>201</v>
      </c>
    </row>
    <row r="14" spans="1:6" ht="90" x14ac:dyDescent="0.25">
      <c r="A14" s="996" t="s">
        <v>202</v>
      </c>
      <c r="B14" s="997" t="s">
        <v>203</v>
      </c>
      <c r="C14" s="997" t="s">
        <v>146</v>
      </c>
      <c r="D14" s="997" t="s">
        <v>204</v>
      </c>
      <c r="E14" s="997" t="s">
        <v>143</v>
      </c>
      <c r="F14" s="606"/>
    </row>
    <row r="15" spans="1:6" ht="135" x14ac:dyDescent="0.25">
      <c r="A15" s="997" t="s">
        <v>205</v>
      </c>
      <c r="B15" s="997" t="s">
        <v>206</v>
      </c>
      <c r="C15" s="997" t="s">
        <v>207</v>
      </c>
      <c r="D15" s="997" t="s">
        <v>208</v>
      </c>
      <c r="E15" s="997" t="s">
        <v>143</v>
      </c>
      <c r="F15" s="997"/>
    </row>
  </sheetData>
  <mergeCells count="3">
    <mergeCell ref="A2:A3"/>
    <mergeCell ref="A4:A6"/>
    <mergeCell ref="A7:A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29"/>
  <sheetViews>
    <sheetView workbookViewId="0">
      <selection activeCell="H22" sqref="H22"/>
    </sheetView>
  </sheetViews>
  <sheetFormatPr defaultRowHeight="15" x14ac:dyDescent="0.25"/>
  <cols>
    <col min="2" max="2" width="37.5703125" customWidth="1"/>
    <col min="3" max="3" width="12.5703125" customWidth="1"/>
    <col min="5" max="5" width="14.28515625" customWidth="1"/>
    <col min="6" max="6" width="29.7109375" customWidth="1"/>
    <col min="7" max="7" width="10.5703125" customWidth="1"/>
    <col min="8" max="8" width="12.42578125" customWidth="1"/>
    <col min="9" max="15" width="9.140625" customWidth="1"/>
    <col min="16" max="16" width="12.140625" customWidth="1"/>
    <col min="17" max="17" width="9.140625" customWidth="1"/>
    <col min="18" max="18" width="10.5703125" customWidth="1"/>
    <col min="19" max="25" width="9.140625" customWidth="1"/>
    <col min="26" max="26" width="13" customWidth="1"/>
    <col min="27" max="34" width="9.140625" customWidth="1"/>
    <col min="35" max="35" width="10.5703125" customWidth="1"/>
    <col min="36" max="38" width="9.140625" customWidth="1"/>
    <col min="40" max="40" width="9.5703125" bestFit="1" customWidth="1"/>
    <col min="41" max="41" width="11.5703125" customWidth="1"/>
    <col min="42" max="42" width="14" customWidth="1"/>
    <col min="43" max="43" width="13.28515625" customWidth="1"/>
    <col min="44" max="44" width="14.140625" customWidth="1"/>
    <col min="45" max="45" width="16.140625" customWidth="1"/>
    <col min="46" max="46" width="11.5703125" bestFit="1" customWidth="1"/>
    <col min="48" max="48" width="11.140625" bestFit="1" customWidth="1"/>
  </cols>
  <sheetData>
    <row r="1" spans="1:45" ht="18.75" x14ac:dyDescent="0.3">
      <c r="A1" s="4" t="s">
        <v>584</v>
      </c>
      <c r="C1" s="4"/>
      <c r="Z1" s="1053"/>
      <c r="AA1" s="1053"/>
      <c r="AB1" s="1053"/>
      <c r="AC1" s="1053"/>
      <c r="AP1" s="4"/>
      <c r="AQ1" s="4"/>
      <c r="AR1" s="4"/>
      <c r="AS1" s="4"/>
    </row>
    <row r="2" spans="1:45" x14ac:dyDescent="0.25">
      <c r="A2" t="s">
        <v>585</v>
      </c>
      <c r="D2" s="526"/>
      <c r="AA2" s="14"/>
      <c r="AB2" s="14"/>
      <c r="AC2" s="14"/>
    </row>
    <row r="3" spans="1:45" x14ac:dyDescent="0.25">
      <c r="A3" t="s">
        <v>586</v>
      </c>
      <c r="D3" s="527"/>
      <c r="AA3" s="527"/>
      <c r="AB3" s="528"/>
      <c r="AC3" s="528"/>
    </row>
    <row r="4" spans="1:45" x14ac:dyDescent="0.25">
      <c r="A4" s="1191" t="s">
        <v>215</v>
      </c>
      <c r="B4" s="1191"/>
      <c r="D4" s="527"/>
      <c r="AA4" s="527"/>
      <c r="AB4" s="528"/>
      <c r="AC4" s="528"/>
    </row>
    <row r="6" spans="1:45" x14ac:dyDescent="0.25">
      <c r="A6" s="506" t="s">
        <v>542</v>
      </c>
      <c r="B6" s="506"/>
      <c r="C6" s="506"/>
      <c r="D6" s="506"/>
      <c r="E6" s="506"/>
      <c r="F6" s="506"/>
      <c r="G6" s="506"/>
      <c r="H6" s="1136" t="s">
        <v>587</v>
      </c>
      <c r="I6" s="1200" t="s">
        <v>588</v>
      </c>
      <c r="J6" s="1201"/>
      <c r="K6" s="1201"/>
      <c r="L6" s="417"/>
      <c r="M6" s="1145" t="s">
        <v>219</v>
      </c>
      <c r="N6" s="1145"/>
      <c r="O6" s="1145"/>
      <c r="P6" s="1145"/>
      <c r="Q6" s="1202" t="s">
        <v>220</v>
      </c>
      <c r="R6" s="1146"/>
      <c r="S6" s="1146"/>
      <c r="T6" s="1203"/>
      <c r="U6" s="1204" t="s">
        <v>589</v>
      </c>
      <c r="V6" s="1205"/>
      <c r="W6" s="1205"/>
      <c r="X6" s="1205"/>
      <c r="Y6" s="1205"/>
      <c r="Z6" s="1206"/>
      <c r="AA6" s="1190" t="s">
        <v>590</v>
      </c>
      <c r="AB6" s="1130"/>
      <c r="AC6" s="1130"/>
      <c r="AD6" s="1130"/>
      <c r="AE6" s="1130"/>
      <c r="AF6" s="1130"/>
      <c r="AG6" s="1192" t="s">
        <v>591</v>
      </c>
      <c r="AH6" s="1193"/>
      <c r="AI6" s="1193"/>
      <c r="AJ6" s="1194" t="s">
        <v>592</v>
      </c>
      <c r="AK6" s="1195"/>
      <c r="AL6" s="1196"/>
      <c r="AM6" s="1197" t="s">
        <v>593</v>
      </c>
      <c r="AN6" s="1198"/>
      <c r="AO6" s="1198"/>
      <c r="AP6" s="506"/>
      <c r="AQ6" s="506"/>
      <c r="AR6" s="506"/>
      <c r="AS6" s="506"/>
    </row>
    <row r="7" spans="1:45" ht="90" x14ac:dyDescent="0.25">
      <c r="A7" s="418" t="s">
        <v>555</v>
      </c>
      <c r="B7" s="507" t="s">
        <v>556</v>
      </c>
      <c r="C7" s="418" t="s">
        <v>557</v>
      </c>
      <c r="D7" s="1029" t="s">
        <v>243</v>
      </c>
      <c r="E7" s="1029" t="s">
        <v>25</v>
      </c>
      <c r="F7" s="1029" t="s">
        <v>594</v>
      </c>
      <c r="G7" s="1029" t="s">
        <v>595</v>
      </c>
      <c r="H7" s="1199"/>
      <c r="I7" s="419" t="s">
        <v>561</v>
      </c>
      <c r="J7" s="1032" t="s">
        <v>562</v>
      </c>
      <c r="K7" s="1032" t="s">
        <v>596</v>
      </c>
      <c r="L7" s="420" t="s">
        <v>218</v>
      </c>
      <c r="M7" s="421" t="s">
        <v>597</v>
      </c>
      <c r="N7" s="1036" t="s">
        <v>598</v>
      </c>
      <c r="O7" s="1036" t="s">
        <v>599</v>
      </c>
      <c r="P7" s="422" t="s">
        <v>600</v>
      </c>
      <c r="Q7" s="423" t="s">
        <v>232</v>
      </c>
      <c r="R7" s="1028" t="s">
        <v>233</v>
      </c>
      <c r="S7" s="1028" t="s">
        <v>235</v>
      </c>
      <c r="T7" s="424" t="s">
        <v>251</v>
      </c>
      <c r="U7" s="425" t="s">
        <v>601</v>
      </c>
      <c r="V7" s="426" t="s">
        <v>602</v>
      </c>
      <c r="W7" s="426" t="s">
        <v>603</v>
      </c>
      <c r="X7" s="426" t="s">
        <v>559</v>
      </c>
      <c r="Y7" s="426" t="s">
        <v>604</v>
      </c>
      <c r="Z7" s="427" t="s">
        <v>560</v>
      </c>
      <c r="AA7" s="428" t="s">
        <v>601</v>
      </c>
      <c r="AB7" s="1026" t="s">
        <v>605</v>
      </c>
      <c r="AC7" s="1026" t="s">
        <v>603</v>
      </c>
      <c r="AD7" s="1026" t="s">
        <v>559</v>
      </c>
      <c r="AE7" s="1026" t="s">
        <v>604</v>
      </c>
      <c r="AF7" s="1026" t="s">
        <v>560</v>
      </c>
      <c r="AG7" s="429" t="s">
        <v>261</v>
      </c>
      <c r="AH7" s="430" t="s">
        <v>559</v>
      </c>
      <c r="AI7" s="430" t="s">
        <v>560</v>
      </c>
      <c r="AJ7" s="508" t="s">
        <v>563</v>
      </c>
      <c r="AK7" s="35" t="s">
        <v>564</v>
      </c>
      <c r="AL7" s="509" t="s">
        <v>565</v>
      </c>
      <c r="AM7" s="431" t="s">
        <v>566</v>
      </c>
      <c r="AN7" s="432" t="s">
        <v>567</v>
      </c>
      <c r="AO7" s="432" t="s">
        <v>568</v>
      </c>
      <c r="AP7" s="507" t="s">
        <v>606</v>
      </c>
      <c r="AQ7" s="507" t="s">
        <v>607</v>
      </c>
      <c r="AR7" s="507" t="s">
        <v>608</v>
      </c>
      <c r="AS7" s="507" t="s">
        <v>609</v>
      </c>
    </row>
    <row r="8" spans="1:45" x14ac:dyDescent="0.25">
      <c r="I8" s="433"/>
      <c r="J8" s="2"/>
      <c r="K8" s="2"/>
      <c r="L8" s="434"/>
      <c r="M8" s="399"/>
      <c r="P8" s="143"/>
      <c r="Q8" s="399"/>
      <c r="T8" s="143"/>
      <c r="U8" s="399"/>
      <c r="Z8" s="143"/>
      <c r="AA8" s="399"/>
      <c r="AG8" s="399"/>
      <c r="AJ8" s="399"/>
      <c r="AL8" s="143"/>
      <c r="AM8" s="399"/>
    </row>
    <row r="9" spans="1:45" x14ac:dyDescent="0.25">
      <c r="A9" s="22" t="s">
        <v>265</v>
      </c>
      <c r="C9" s="22"/>
      <c r="I9" s="433"/>
      <c r="J9" s="2"/>
      <c r="K9" s="2"/>
      <c r="L9" s="434"/>
      <c r="M9" s="399"/>
      <c r="P9" s="143"/>
      <c r="Q9" s="323"/>
      <c r="R9" s="21"/>
      <c r="S9" s="21"/>
      <c r="T9" s="435"/>
      <c r="U9" s="323"/>
      <c r="V9" s="21"/>
      <c r="W9" s="21"/>
      <c r="X9" s="21"/>
      <c r="Y9" s="21"/>
      <c r="Z9" s="435"/>
      <c r="AA9" s="323"/>
      <c r="AB9" s="21"/>
      <c r="AC9" s="21"/>
      <c r="AD9" s="21"/>
      <c r="AE9" s="21"/>
      <c r="AF9" s="21"/>
      <c r="AG9" s="436"/>
      <c r="AH9" s="148"/>
      <c r="AI9" s="148"/>
      <c r="AJ9" s="323"/>
      <c r="AK9" s="21"/>
      <c r="AL9" s="435"/>
      <c r="AM9" s="436"/>
      <c r="AN9" s="148"/>
      <c r="AO9" s="148"/>
      <c r="AP9" s="22"/>
      <c r="AQ9" s="22"/>
      <c r="AR9" s="22"/>
      <c r="AS9" s="22"/>
    </row>
    <row r="10" spans="1:45" x14ac:dyDescent="0.25">
      <c r="A10" s="1053" t="s">
        <v>610</v>
      </c>
      <c r="C10" s="14"/>
      <c r="D10" s="14"/>
      <c r="I10" s="399"/>
      <c r="L10" s="437"/>
      <c r="M10" s="399"/>
      <c r="P10" s="143"/>
      <c r="Q10" s="399"/>
      <c r="T10" s="143"/>
      <c r="U10" s="399"/>
      <c r="Z10" s="143"/>
      <c r="AA10" s="399"/>
      <c r="AG10" s="399"/>
      <c r="AJ10" s="400"/>
      <c r="AK10" s="14"/>
      <c r="AL10" s="145"/>
      <c r="AM10" s="306"/>
      <c r="AN10" s="14"/>
      <c r="AO10" s="14"/>
    </row>
    <row r="11" spans="1:45" x14ac:dyDescent="0.25">
      <c r="B11" s="261" t="s">
        <v>611</v>
      </c>
      <c r="C11" s="1048">
        <v>2011</v>
      </c>
      <c r="D11" s="26">
        <v>424.01</v>
      </c>
      <c r="E11" s="1048" t="s">
        <v>281</v>
      </c>
      <c r="F11" s="1021" t="s">
        <v>284</v>
      </c>
      <c r="G11" s="259" t="s">
        <v>612</v>
      </c>
      <c r="H11" s="259"/>
      <c r="I11" s="439">
        <f>1.283</f>
        <v>1.2829999999999999</v>
      </c>
      <c r="J11" s="257">
        <v>0.83023600000000009</v>
      </c>
      <c r="K11" s="257">
        <v>0</v>
      </c>
      <c r="L11" s="440">
        <f>I11/SUM(I11:K11)</f>
        <v>0.60712575405681135</v>
      </c>
      <c r="M11" s="146">
        <f>SUM(I11:K11)*0.45</f>
        <v>0.95095620000000003</v>
      </c>
      <c r="N11" s="34">
        <f>I11*1.76+J11*0.5+K11*0.13</f>
        <v>2.6731980000000002</v>
      </c>
      <c r="O11" s="34">
        <f>I11*9.39+J11*6.99+K11*2.36</f>
        <v>17.850719640000001</v>
      </c>
      <c r="P11" s="497">
        <f>I11*676.94+J11*101.08+K11*77.38</f>
        <v>952.43427487999998</v>
      </c>
      <c r="Q11" s="146" t="s">
        <v>285</v>
      </c>
      <c r="R11" s="500">
        <v>4262</v>
      </c>
      <c r="S11" s="34">
        <f>IF(R11="NA", 0, (R11/43560)*12/I11)</f>
        <v>0.91512446079157628</v>
      </c>
      <c r="T11" s="441" t="s">
        <v>381</v>
      </c>
      <c r="U11" s="442">
        <f>IF(Q11="RR",IF((0.0304*(S11^5)-0.2619*(S11^4)+0.9161*(S11^3)-1.6837*(S11^2)+1.7072*S11-0.0091)&gt;0.85,0.85,IF((0.0304*(S11^5)-0.2619*(S11^4)+0.9161*(S11^3)-1.6837*(S11^2)+1.7072*S11-0.0091)&lt;0,0,(0.0304*(S11^5)-0.2619*(S11^4)+0.9161*(S11^3)-1.6837*(S11^2)+1.7072*S11-0.0091))),IF((0.0239*(S11^5)-0.2058*(S11^4)+0.7198*(S11^3)-1.3229*(S11^2)+1.3414*S11-0.0072)&gt;0.65,0.65,IF((0.0239*(S11^5)-0.2058*(S11^4)+0.7198*(S11^3)-1.3229*(S11^2)+1.3414*S11-0.0072)&lt;0,0,(0.0239*(S11^5)-0.2058*(S11^4)+0.7198*(S11^3)-1.3229*(S11^2)+1.3414*S11-0.0072))))</f>
        <v>0.68108920735513856</v>
      </c>
      <c r="V11" s="313">
        <f>U11*N11</f>
        <v>1.8206863069233419</v>
      </c>
      <c r="W11" s="443">
        <f>IF(Q11="RR",IF((0.0308*(S11^5)-0.2562*(S11^4)+0.8634*(S11^3)-1.5285*(S11^2)+1.501*S11-0.013)&gt;0.7,0.7,IF((0.0308*(S11^5)-0.2562*(S11^4)+0.8634*(S11^3)-1.5285*(S11^2)+1.501*S11-0.013)&lt;0,0,(0.0308*(S11^5)-0.2562*(S11^4)+0.8634*(S11^3)-1.5285*(S11^2)+1.501*S11-0.013))),IF((0.0152*(S11^5)-0.131*(S11^4)+0.4581*(S11^3)-0.8418*(S11^2)+0.8536*S11-0.0046)&gt;0.65,0.65,IF((0.0152*(S11^5)-0.131*(S11^4)+0.4581*(S11^3)-0.8418*(S11^2)+0.8536*S11-0.0046)&lt;0,0,(0.0152*(S11^5)-0.131*(S11^4)+0.4581*(S11^3)-0.8418*(S11^2)+0.8536*S11-0.0046))))</f>
        <v>0.58232961560728491</v>
      </c>
      <c r="X11" s="313">
        <f>W11*(O11)</f>
        <v>10.395002706274612</v>
      </c>
      <c r="Y11" s="443">
        <f>IF(Q11="RR",IF((0.0326*(S11^5)-0.2806*(S11^4)+0.9816*(S11^3)-1.8039*(S11^2)+1.8292*S11-0.0098)&gt;0.85,0.85,IF((0.0326*(S11^5)-0.2806*(S11^4)+0.9816*(S11^3)-1.8039*(S11^2)+1.8292*S11-0.0098)&lt;0,0,(0.0326*(S11^5)-0.2806*(S11^4)+0.9816*(S11^3)-1.8039*(S11^2)+1.8292*S11-0.0098))),IF((0.0304*(S11^5)-0.2619*(S11^4)+0.9161*(S11^3)-1.6837*(S11^2)+1.7072*S11-0.0091)&gt;0.8,0.8,IF((0.0304*(S11^5)-0.2619*(S11^4)+0.9161*(S11^3)-1.6837*(S11^2)+1.7072*S11-0.0091)&lt;0,0,(0.0304*(S11^5)-0.2619*(S11^4)+0.9161*(S11^3)-1.6837*(S11^2)+1.7072*S11-0.0091))))</f>
        <v>0.72986717906692666</v>
      </c>
      <c r="Z11" s="401">
        <f>Y11*(P11)</f>
        <v>695.15051745331937</v>
      </c>
      <c r="AA11" s="444">
        <f>IF(ISNA(VLOOKUP(F11,'Efficiency Lookup'!$D$2:$E$35,2,FALSE)),0,VLOOKUP(F11,'Efficiency Lookup'!$D$2:$E$35,2,FALSE))</f>
        <v>0.45</v>
      </c>
      <c r="AB11" s="133">
        <f>N11*AA11</f>
        <v>1.2029391</v>
      </c>
      <c r="AC11" s="132">
        <f>IF(ISNA(VLOOKUP(F11,'Efficiency Lookup'!$D$2:$G$35,3,FALSE)),0,VLOOKUP(F11,'Efficiency Lookup'!$D$2:$G$35,3,FALSE))</f>
        <v>0.25</v>
      </c>
      <c r="AD11" s="133">
        <f>AC11*(O11)</f>
        <v>4.4626799100000003</v>
      </c>
      <c r="AE11" s="132">
        <f>IF(ISNA(VLOOKUP(F11,'Efficiency Lookup'!$D$2:$G$35,4,FALSE)),0,VLOOKUP(F11,'Efficiency Lookup'!$D$2:$G$35,4,FALSE))</f>
        <v>0.55000000000000004</v>
      </c>
      <c r="AF11" s="133">
        <f>AE11*(P11)</f>
        <v>523.83885118400008</v>
      </c>
      <c r="AG11" s="400">
        <f>MAX(V11,AB11)</f>
        <v>1.8206863069233419</v>
      </c>
      <c r="AH11" s="313">
        <f>IF(AG11=V11,X11,AD11)</f>
        <v>10.395002706274612</v>
      </c>
      <c r="AI11" s="313">
        <f>IF(AG11=V11, Z11,AF11)</f>
        <v>695.15051745331937</v>
      </c>
      <c r="AJ11" s="324">
        <f>IF(G11="Y",0,IF(E11="Channel Restoration", I11*0.01*20+J11*0.002*20, N11-M11))</f>
        <v>0</v>
      </c>
      <c r="AK11" s="133">
        <f>IF(G11="Y",0,IF(E11="Channel Restoration", I11*0.04*20+J11*0.02*20, AJ11*5.2))</f>
        <v>0</v>
      </c>
      <c r="AL11" s="137">
        <f>IF(G11="Y",0,IF(E11="Channel Restoration", I11*6.67*20+J11*0.44*20, AJ11*420.9))</f>
        <v>0</v>
      </c>
      <c r="AM11" s="146">
        <f>IF(AG11-AJ11&lt;0, 0, AG11-AJ11)</f>
        <v>1.8206863069233419</v>
      </c>
      <c r="AN11" s="34">
        <f>IF(AH11-AK11&lt;0, 0, AH11-AK11)</f>
        <v>10.395002706274612</v>
      </c>
      <c r="AO11" s="34">
        <f>IF(AI11-AL11&lt;0,0,AI11-AL11)</f>
        <v>695.15051745331937</v>
      </c>
      <c r="AP11" s="438">
        <v>171311</v>
      </c>
      <c r="AQ11" s="438">
        <v>22491</v>
      </c>
      <c r="AR11" s="438">
        <f>AP11+AQ11</f>
        <v>193802</v>
      </c>
      <c r="AS11" s="438">
        <f>AR11/AM11</f>
        <v>106444.47605446831</v>
      </c>
    </row>
    <row r="12" spans="1:45" x14ac:dyDescent="0.25">
      <c r="B12" s="11"/>
      <c r="C12" s="1048"/>
      <c r="D12" s="26"/>
      <c r="E12" s="290"/>
      <c r="F12" s="1019"/>
      <c r="G12" s="1019"/>
      <c r="H12" s="1019"/>
      <c r="I12" s="439"/>
      <c r="J12" s="257"/>
      <c r="K12" s="257"/>
      <c r="L12" s="440"/>
      <c r="M12" s="146"/>
      <c r="N12" s="34"/>
      <c r="O12" s="34"/>
      <c r="P12" s="497"/>
      <c r="Q12" s="146"/>
      <c r="R12" s="501"/>
      <c r="S12" s="34"/>
      <c r="T12" s="144"/>
      <c r="U12" s="442"/>
      <c r="V12" s="313"/>
      <c r="W12" s="443"/>
      <c r="X12" s="313"/>
      <c r="Y12" s="443"/>
      <c r="Z12" s="401"/>
      <c r="AA12" s="442"/>
      <c r="AB12" s="313"/>
      <c r="AC12" s="443"/>
      <c r="AD12" s="313"/>
      <c r="AE12" s="443"/>
      <c r="AF12" s="313"/>
      <c r="AG12" s="146"/>
      <c r="AH12" s="34"/>
      <c r="AI12" s="34"/>
      <c r="AJ12" s="146"/>
      <c r="AK12" s="34"/>
      <c r="AL12" s="144"/>
      <c r="AM12" s="146"/>
      <c r="AN12" s="34"/>
      <c r="AO12" s="34"/>
      <c r="AP12" s="445"/>
      <c r="AQ12" s="445"/>
      <c r="AR12" s="445"/>
      <c r="AS12" s="445"/>
    </row>
    <row r="13" spans="1:45" x14ac:dyDescent="0.25">
      <c r="A13" s="446"/>
      <c r="B13" s="447"/>
      <c r="C13" s="449"/>
      <c r="D13" s="450"/>
      <c r="E13" s="449"/>
      <c r="F13" s="449"/>
      <c r="G13" s="449"/>
      <c r="H13" s="449"/>
      <c r="I13" s="451"/>
      <c r="J13" s="452"/>
      <c r="K13" s="452"/>
      <c r="L13" s="453"/>
      <c r="M13" s="454"/>
      <c r="N13" s="455"/>
      <c r="O13" s="455"/>
      <c r="P13" s="498"/>
      <c r="Q13" s="454"/>
      <c r="R13" s="502"/>
      <c r="S13" s="455"/>
      <c r="T13" s="456"/>
      <c r="U13" s="457"/>
      <c r="V13" s="458"/>
      <c r="W13" s="459"/>
      <c r="X13" s="458"/>
      <c r="Y13" s="459"/>
      <c r="Z13" s="460"/>
      <c r="AA13" s="457"/>
      <c r="AB13" s="458"/>
      <c r="AC13" s="459"/>
      <c r="AD13" s="458"/>
      <c r="AE13" s="459"/>
      <c r="AF13" s="458"/>
      <c r="AG13" s="454"/>
      <c r="AH13" s="455"/>
      <c r="AI13" s="455"/>
      <c r="AJ13" s="454"/>
      <c r="AK13" s="455"/>
      <c r="AL13" s="456"/>
      <c r="AM13" s="454"/>
      <c r="AN13" s="455"/>
      <c r="AO13" s="455"/>
      <c r="AP13" s="448"/>
      <c r="AQ13" s="448"/>
      <c r="AR13" s="448"/>
      <c r="AS13" s="448"/>
    </row>
    <row r="14" spans="1:45" x14ac:dyDescent="0.25">
      <c r="A14" s="461" t="s">
        <v>613</v>
      </c>
      <c r="C14" s="14"/>
      <c r="D14" s="14"/>
      <c r="I14" s="400"/>
      <c r="J14" s="313"/>
      <c r="K14" s="313"/>
      <c r="L14" s="463"/>
      <c r="M14" s="306"/>
      <c r="N14" s="14"/>
      <c r="O14" s="14"/>
      <c r="P14" s="499"/>
      <c r="Q14" s="306"/>
      <c r="R14" s="503"/>
      <c r="S14" s="313"/>
      <c r="T14" s="145"/>
      <c r="U14" s="442"/>
      <c r="V14" s="313"/>
      <c r="W14" s="443"/>
      <c r="X14" s="313"/>
      <c r="Y14" s="443"/>
      <c r="Z14" s="401"/>
      <c r="AA14" s="442"/>
      <c r="AB14" s="313"/>
      <c r="AC14" s="443"/>
      <c r="AD14" s="313"/>
      <c r="AE14" s="443"/>
      <c r="AF14" s="313"/>
      <c r="AG14" s="400"/>
      <c r="AH14" s="313"/>
      <c r="AI14" s="313"/>
      <c r="AJ14" s="400"/>
      <c r="AK14" s="313"/>
      <c r="AL14" s="401"/>
      <c r="AM14" s="400"/>
      <c r="AN14" s="313"/>
      <c r="AO14" s="313"/>
      <c r="AP14" s="462"/>
      <c r="AQ14" s="462"/>
      <c r="AR14" s="462"/>
      <c r="AS14" s="462"/>
    </row>
    <row r="15" spans="1:45" x14ac:dyDescent="0.25">
      <c r="B15" s="464" t="s">
        <v>614</v>
      </c>
      <c r="C15" s="466"/>
      <c r="D15" s="740"/>
      <c r="E15" s="466" t="s">
        <v>293</v>
      </c>
      <c r="F15" s="467" t="s">
        <v>615</v>
      </c>
      <c r="G15" s="468" t="s">
        <v>612</v>
      </c>
      <c r="H15" s="469">
        <v>0.1</v>
      </c>
      <c r="I15" s="470">
        <v>39.049999999999997</v>
      </c>
      <c r="J15" s="471">
        <v>26.1</v>
      </c>
      <c r="K15" s="471">
        <v>3.24</v>
      </c>
      <c r="L15" s="472">
        <f>I15/SUM(I15:K15)</f>
        <v>0.5709899108056733</v>
      </c>
      <c r="M15" s="470"/>
      <c r="N15" s="34"/>
      <c r="O15" s="34"/>
      <c r="P15" s="497"/>
      <c r="Q15" s="470"/>
      <c r="R15" s="504"/>
      <c r="S15" s="471"/>
      <c r="T15" s="473"/>
      <c r="U15" s="444">
        <f>IF(Q15="RR",IF((0.0304*(S15^5)-0.2619*(S15^4)+0.9161*(S15^3)-1.6837*(S15^2)+1.7072*S15-0.0091)&gt;0.85,0.85,IF((0.0304*(S15^5)-0.2619*(S15^4)+0.9161*(S15^3)-1.6837*(S15^2)+1.7072*S15-0.0091)&lt;0,0,(0.0304*(S15^5)-0.2619*(S15^4)+0.9161*(S15^3)-1.6837*(S15^2)+1.7072*S15-0.0091))),IF((0.0239*(S15^5)-0.2058*(S15^4)+0.7198*(S15^3)-1.3229*(S15^2)+1.3414*S15-0.0072)&gt;0.65,0.65,IF((0.0239*(S15^5)-0.2058*(S15^4)+0.7198*(S15^3)-1.3229*(S15^2)+1.3414*S15-0.0072)&lt;0,0,(0.0239*(S15^5)-0.2058*(S15^4)+0.7198*(S15^3)-1.3229*(S15^2)+1.3414*S15-0.0072))))</f>
        <v>0</v>
      </c>
      <c r="V15" s="133">
        <f>U15*N15</f>
        <v>0</v>
      </c>
      <c r="W15" s="132">
        <f>IF(Q15="RR",IF((0.0308*(S15^5)-0.2562*(S15^4)+0.8634*(S15^3)-1.5285*(S15^2)+1.501*S15-0.013)&gt;0.7,0.7,IF((0.0308*(S15^5)-0.2562*(S15^4)+0.8634*(S15^3)-1.5285*(S15^2)+1.501*S15-0.013)&lt;0,0,(0.0308*(S15^5)-0.2562*(S15^4)+0.8634*(S15^3)-1.5285*(S15^2)+1.501*S15-0.013))),IF((0.0152*(S15^5)-0.131*(S15^4)+0.4581*(S15^3)-0.8418*(S15^2)+0.8536*S15-0.0046)&gt;0.65,0.65,IF((0.0152*(S15^5)-0.131*(S15^4)+0.4581*(S15^3)-0.8418*(S15^2)+0.8536*S15-0.0046)&lt;0,0,(0.0152*(S15^5)-0.131*(S15^4)+0.4581*(S15^3)-0.8418*(S15^2)+0.8536*S15-0.0046))))</f>
        <v>0</v>
      </c>
      <c r="X15" s="133">
        <f>W15*(O15)</f>
        <v>0</v>
      </c>
      <c r="Y15" s="132">
        <f>IF(Q15="RR",IF((0.0326*(S15^5)-0.2806*(S15^4)+0.9816*(S15^3)-1.8039*(S15^2)+1.8292*S15-0.0098)&gt;0.85,0.85,IF((0.0326*(S15^5)-0.2806*(S15^4)+0.9816*(S15^3)-1.8039*(S15^2)+1.8292*S15-0.0098)&lt;0,0,(0.0326*(S15^5)-0.2806*(S15^4)+0.9816*(S15^3)-1.8039*(S15^2)+1.8292*S15-0.0098))),IF((0.0304*(S15^5)-0.2619*(S15^4)+0.9161*(S15^3)-1.6837*(S15^2)+1.7072*S15-0.0091)&gt;0.8,0.8,IF((0.0304*(S15^5)-0.2619*(S15^4)+0.9161*(S15^3)-1.6837*(S15^2)+1.7072*S15-0.0091)&lt;0,0,(0.0304*(S15^5)-0.2619*(S15^4)+0.9161*(S15^3)-1.6837*(S15^2)+1.7072*S15-0.0091))))</f>
        <v>0</v>
      </c>
      <c r="Z15" s="137">
        <f>Y15*(N15*420.9)</f>
        <v>0</v>
      </c>
      <c r="AA15" s="474">
        <f>(1-H15)*IF(ISNA(VLOOKUP(F15,'Efficiency Lookup'!$D$2:$E$35,2,FALSE)),0,VLOOKUP(F15,'Efficiency Lookup'!$D$2:$E$35,2,FALSE))</f>
        <v>9.0000000000000011E-2</v>
      </c>
      <c r="AB15" s="471">
        <f>N15*AA15</f>
        <v>0</v>
      </c>
      <c r="AC15" s="475">
        <f>(1-H15)*IF(ISNA(VLOOKUP(F15,'Efficiency Lookup'!$D$2:$G$35,3,FALSE)),0,VLOOKUP(F15,'Efficiency Lookup'!$D$2:$G$35,3,FALSE))</f>
        <v>4.5000000000000005E-2</v>
      </c>
      <c r="AD15" s="471">
        <f>AC15*(5.2*N15)</f>
        <v>0</v>
      </c>
      <c r="AE15" s="475">
        <f>(1-H15)*IF(ISNA(VLOOKUP(F15,'Efficiency Lookup'!$D$2:$G$35,4,FALSE)),0,VLOOKUP(F15,'Efficiency Lookup'!$D$2:$G$35,4,FALSE))</f>
        <v>9.0000000000000011E-2</v>
      </c>
      <c r="AF15" s="471">
        <f>AE15*(420.9*N15)</f>
        <v>0</v>
      </c>
      <c r="AG15" s="470"/>
      <c r="AH15" s="471"/>
      <c r="AI15" s="471"/>
      <c r="AJ15" s="470"/>
      <c r="AK15" s="471"/>
      <c r="AL15" s="476"/>
      <c r="AM15" s="146"/>
      <c r="AN15" s="34"/>
      <c r="AO15" s="34"/>
      <c r="AP15" s="465"/>
      <c r="AQ15" s="465"/>
      <c r="AR15" s="465"/>
      <c r="AS15" s="465"/>
    </row>
    <row r="16" spans="1:45" x14ac:dyDescent="0.25">
      <c r="B16" s="261" t="s">
        <v>616</v>
      </c>
      <c r="C16" s="1048">
        <v>2015</v>
      </c>
      <c r="D16" s="26">
        <v>80.010000000000005</v>
      </c>
      <c r="E16" s="1048" t="s">
        <v>617</v>
      </c>
      <c r="F16" s="1021" t="s">
        <v>277</v>
      </c>
      <c r="G16" s="259" t="s">
        <v>612</v>
      </c>
      <c r="H16" s="259"/>
      <c r="I16" s="439">
        <v>39.049999999999997</v>
      </c>
      <c r="J16" s="257">
        <v>26.1</v>
      </c>
      <c r="K16" s="257">
        <v>3.24</v>
      </c>
      <c r="L16" s="440">
        <f>I16/SUM(I16:K16)</f>
        <v>0.5709899108056733</v>
      </c>
      <c r="M16" s="146">
        <f>SUM(I16:K16)*0.45</f>
        <v>30.775500000000001</v>
      </c>
      <c r="N16" s="34">
        <f>I16*1.76+J16*0.5+K16*0.13</f>
        <v>82.19919999999999</v>
      </c>
      <c r="O16" s="34">
        <f>I16*9.39+J16*6.99+K16*2.36</f>
        <v>556.76490000000001</v>
      </c>
      <c r="P16" s="497">
        <f>I16*676.94+J16*101.08+K16*77.38</f>
        <v>29323.406200000001</v>
      </c>
      <c r="Q16" s="146" t="s">
        <v>278</v>
      </c>
      <c r="R16" s="500">
        <v>51583</v>
      </c>
      <c r="S16" s="34">
        <f>IF(R16="NA", 0, (R16/43560)*12/I16)</f>
        <v>0.36389738380193515</v>
      </c>
      <c r="T16" s="441" t="s">
        <v>286</v>
      </c>
      <c r="U16" s="444">
        <f>IF(Q16="RR",IF((0.0304*(S16^5)-0.2619*(S16^4)+0.9161*(S16^3)-1.6837*(S16^2)+1.7072*S16-0.0091)&gt;0.85,0.85,IF((0.0304*(S16^5)-0.2619*(S16^4)+0.9161*(S16^3)-1.6837*(S16^2)+1.7072*S16-0.0091)&lt;0,0,(0.0304*(S16^5)-0.2619*(S16^4)+0.9161*(S16^3)-1.6837*(S16^2)+1.7072*S16-0.0091))),IF((0.0239*(S16^5)-0.2058*(S16^4)+0.7198*(S16^3)-1.3229*(S16^2)+1.3414*S16-0.0072)&gt;0.65,0.65,IF((0.0239*(S16^5)-0.2058*(S16^4)+0.7198*(S16^3)-1.3229*(S16^2)+1.3414*S16-0.0072)&lt;0,0,(0.0239*(S16^5)-0.2058*(S16^4)+0.7198*(S16^3)-1.3229*(S16^2)+1.3414*S16-0.0072))))-AA15</f>
        <v>0.2469810817355344</v>
      </c>
      <c r="V16" s="133">
        <f>U16*N16</f>
        <v>20.301647333795536</v>
      </c>
      <c r="W16" s="132">
        <f>IF(Q16="RR",IF((0.0308*(S16^5)-0.2562*(S16^4)+0.8634*(S16^3)-1.5285*(S16^2)+1.501*S16-0.013)&gt;0.7,0.7,IF((0.0308*(S16^5)-0.2562*(S16^4)+0.8634*(S16^3)-1.5285*(S16^2)+1.501*S16-0.013)&lt;0,0,(0.0308*(S16^5)-0.2562*(S16^4)+0.8634*(S16^3)-1.5285*(S16^2)+1.501*S16-0.013))),IF((0.0152*(S16^5)-0.131*(S16^4)+0.4581*(S16^3)-0.8418*(S16^2)+0.8536*S16-0.0046)&gt;0.65,0.65,IF((0.0152*(S16^5)-0.131*(S16^4)+0.4581*(S16^3)-0.8418*(S16^2)+0.8536*S16-0.0046)&lt;0,0,(0.0152*(S16^5)-0.131*(S16^4)+0.4581*(S16^3)-0.8418*(S16^2)+0.8536*S16-0.0046))))-AC15</f>
        <v>0.16942522226715798</v>
      </c>
      <c r="X16" s="133">
        <f>W16*(O16)</f>
        <v>94.330016933051979</v>
      </c>
      <c r="Y16" s="132">
        <f>IF(Q16="RR",IF((0.0326*(S16^5)-0.2806*(S16^4)+0.9816*(S16^3)-1.8039*(S16^2)+1.8292*S16-0.0098)&gt;0.85,0.85,IF((0.0326*(S16^5)-0.2806*(S16^4)+0.9816*(S16^3)-1.8039*(S16^2)+1.8292*S16-0.0098)&lt;0,0,(0.0326*(S16^5)-0.2806*(S16^4)+0.9816*(S16^3)-1.8039*(S16^2)+1.8292*S16-0.0098))),IF((0.0304*(S16^5)-0.2619*(S16^4)+0.9161*(S16^3)-1.6837*(S16^2)+1.7072*S16-0.0091)&gt;0.8,0.8,IF((0.0304*(S16^5)-0.2619*(S16^4)+0.9161*(S16^3)-1.6837*(S16^2)+1.7072*S16-0.0091)&lt;0,0,(0.0304*(S16^5)-0.2619*(S16^4)+0.9161*(S16^3)-1.6837*(S16^2)+1.7072*S16-0.0091))))-AE15</f>
        <v>0.33893413716726972</v>
      </c>
      <c r="Z16" s="137">
        <f>Y16*(P16)</f>
        <v>9938.7033792023685</v>
      </c>
      <c r="AA16" s="442">
        <f>IF(ISNA(VLOOKUP(F16,'Efficiency Lookup'!$D$2:$E$35,2,FALSE)),0,VLOOKUP(F16,'Efficiency Lookup'!$D$2:$E$35,2,FALSE))-AA15</f>
        <v>0.36</v>
      </c>
      <c r="AB16" s="313">
        <f>N16*AA16</f>
        <v>29.591711999999994</v>
      </c>
      <c r="AC16" s="443">
        <f>IF(ISNA(VLOOKUP(F16,'Efficiency Lookup'!$D$2:$G$35,3,FALSE)),0,VLOOKUP(F16,'Efficiency Lookup'!$D$2:$G$35,3,FALSE))-AC15</f>
        <v>0.155</v>
      </c>
      <c r="AD16" s="313">
        <f>AC16*(O16)</f>
        <v>86.298559499999996</v>
      </c>
      <c r="AE16" s="443">
        <f>IF(ISNA(VLOOKUP(F16,'Efficiency Lookup'!$D$2:$G$35,4,FALSE)),0,VLOOKUP(F16,'Efficiency Lookup'!$D$2:$G$35,4,FALSE))-AE15</f>
        <v>0.51</v>
      </c>
      <c r="AF16" s="313">
        <f>AE16*(P16)</f>
        <v>14954.937162</v>
      </c>
      <c r="AG16" s="400">
        <f>AB16</f>
        <v>29.591711999999994</v>
      </c>
      <c r="AH16" s="313">
        <f>IF(AG16=V16,X16,AD16)</f>
        <v>86.298559499999996</v>
      </c>
      <c r="AI16" s="313">
        <f>IF(AG16=V16, Z16,AF16)</f>
        <v>14954.937162</v>
      </c>
      <c r="AJ16" s="324">
        <f>IF(G16="Y",0,IF(E16="Channel Restoration", I16*0.01*20+J16*0.002*20, N16-M16))</f>
        <v>0</v>
      </c>
      <c r="AK16" s="133">
        <f>IF(G16="Y",0,IF(E16="Channel Restoration", I16*0.04*20+J16*0.02*20, AJ16*5.2))</f>
        <v>0</v>
      </c>
      <c r="AL16" s="137">
        <f>IF(G16="Y",0,IF(E16="Channel Restoration", I16*6.67*20+J16*0.44*20, AJ16*420.9))</f>
        <v>0</v>
      </c>
      <c r="AM16" s="146">
        <f>IF(AG16-AJ16&lt;0, 0, AG16-AJ16)</f>
        <v>29.591711999999994</v>
      </c>
      <c r="AN16" s="34">
        <f>IF(AH16-AK16&lt;0, 0, AH16-AK16)</f>
        <v>86.298559499999996</v>
      </c>
      <c r="AO16" s="34">
        <f>IF(AI16-AL16&lt;0,0,AI16-AL16)</f>
        <v>14954.937162</v>
      </c>
      <c r="AP16" s="438">
        <v>307871</v>
      </c>
      <c r="AQ16" s="438">
        <v>103830</v>
      </c>
      <c r="AR16" s="438">
        <f>AP16+AQ16</f>
        <v>411701</v>
      </c>
      <c r="AS16" s="438">
        <f>AR16/AM16</f>
        <v>13912.713127243198</v>
      </c>
    </row>
    <row r="17" spans="1:48" x14ac:dyDescent="0.25">
      <c r="B17" s="10"/>
      <c r="C17" s="1048"/>
      <c r="D17" s="26"/>
      <c r="E17" s="1048"/>
      <c r="F17" s="1048"/>
      <c r="G17" s="1048"/>
      <c r="H17" s="1048"/>
      <c r="I17" s="439"/>
      <c r="J17" s="257"/>
      <c r="K17" s="257"/>
      <c r="L17" s="440"/>
      <c r="M17" s="146"/>
      <c r="N17" s="34"/>
      <c r="O17" s="34"/>
      <c r="P17" s="497"/>
      <c r="Q17" s="306"/>
      <c r="R17" s="503"/>
      <c r="S17" s="313"/>
      <c r="T17" s="144"/>
      <c r="U17" s="442"/>
      <c r="V17" s="313"/>
      <c r="W17" s="443"/>
      <c r="X17" s="313"/>
      <c r="Y17" s="443"/>
      <c r="Z17" s="401"/>
      <c r="AA17" s="442"/>
      <c r="AB17" s="313"/>
      <c r="AC17" s="443"/>
      <c r="AD17" s="313"/>
      <c r="AE17" s="443"/>
      <c r="AF17" s="313"/>
      <c r="AG17" s="146"/>
      <c r="AH17" s="34"/>
      <c r="AI17" s="34"/>
      <c r="AJ17" s="400"/>
      <c r="AK17" s="14"/>
      <c r="AL17" s="145"/>
      <c r="AM17" s="146"/>
      <c r="AN17" s="34"/>
      <c r="AO17" s="34"/>
      <c r="AP17" s="445"/>
      <c r="AQ17" s="445"/>
      <c r="AR17" s="445"/>
      <c r="AS17" s="445"/>
    </row>
    <row r="18" spans="1:48" x14ac:dyDescent="0.25">
      <c r="A18" s="446"/>
      <c r="B18" s="477"/>
      <c r="C18" s="479"/>
      <c r="D18" s="480"/>
      <c r="E18" s="449"/>
      <c r="F18" s="481"/>
      <c r="G18" s="449"/>
      <c r="H18" s="449"/>
      <c r="I18" s="451"/>
      <c r="J18" s="452"/>
      <c r="K18" s="452"/>
      <c r="L18" s="453"/>
      <c r="M18" s="454"/>
      <c r="N18" s="455"/>
      <c r="O18" s="455"/>
      <c r="P18" s="498"/>
      <c r="Q18" s="454"/>
      <c r="R18" s="505"/>
      <c r="S18" s="455"/>
      <c r="T18" s="482"/>
      <c r="U18" s="457"/>
      <c r="V18" s="458"/>
      <c r="W18" s="459"/>
      <c r="X18" s="458"/>
      <c r="Y18" s="459"/>
      <c r="Z18" s="460"/>
      <c r="AA18" s="457"/>
      <c r="AB18" s="458"/>
      <c r="AC18" s="459"/>
      <c r="AD18" s="458"/>
      <c r="AE18" s="459"/>
      <c r="AF18" s="458"/>
      <c r="AG18" s="483"/>
      <c r="AH18" s="458"/>
      <c r="AI18" s="458"/>
      <c r="AJ18" s="454"/>
      <c r="AK18" s="455"/>
      <c r="AL18" s="456"/>
      <c r="AM18" s="454"/>
      <c r="AN18" s="455"/>
      <c r="AO18" s="455"/>
      <c r="AP18" s="478"/>
      <c r="AQ18" s="478"/>
      <c r="AR18" s="478"/>
      <c r="AS18" s="478"/>
    </row>
    <row r="19" spans="1:48" x14ac:dyDescent="0.25">
      <c r="A19" s="1053" t="s">
        <v>618</v>
      </c>
      <c r="C19" s="14"/>
      <c r="D19" s="14"/>
      <c r="I19" s="484"/>
      <c r="J19" s="485"/>
      <c r="K19" s="485"/>
      <c r="L19" s="486"/>
      <c r="M19" s="306"/>
      <c r="N19" s="14"/>
      <c r="O19" s="14"/>
      <c r="P19" s="499"/>
      <c r="Q19" s="306"/>
      <c r="R19" s="503"/>
      <c r="S19" s="34"/>
      <c r="T19" s="487"/>
      <c r="U19" s="442"/>
      <c r="V19" s="313"/>
      <c r="W19" s="443"/>
      <c r="X19" s="313"/>
      <c r="Y19" s="443"/>
      <c r="Z19" s="401"/>
      <c r="AA19" s="442"/>
      <c r="AB19" s="313"/>
      <c r="AC19" s="443"/>
      <c r="AD19" s="313"/>
      <c r="AE19" s="443"/>
      <c r="AF19" s="313"/>
      <c r="AG19" s="400"/>
      <c r="AH19" s="313"/>
      <c r="AI19" s="313"/>
      <c r="AJ19" s="400"/>
      <c r="AK19" s="14"/>
      <c r="AL19" s="145"/>
      <c r="AM19" s="306"/>
      <c r="AN19" s="14"/>
      <c r="AO19" s="14"/>
      <c r="AP19" s="462"/>
      <c r="AQ19" s="462"/>
      <c r="AR19" s="462"/>
      <c r="AS19" s="462"/>
    </row>
    <row r="20" spans="1:48" x14ac:dyDescent="0.25">
      <c r="B20" s="261" t="s">
        <v>619</v>
      </c>
      <c r="C20" s="1048">
        <v>2014</v>
      </c>
      <c r="D20" s="26">
        <v>310.02</v>
      </c>
      <c r="E20" s="1048" t="s">
        <v>281</v>
      </c>
      <c r="F20" s="1021" t="s">
        <v>315</v>
      </c>
      <c r="G20" s="259" t="s">
        <v>620</v>
      </c>
      <c r="H20" s="259"/>
      <c r="I20" s="439">
        <v>1.63</v>
      </c>
      <c r="J20" s="257">
        <v>0.41</v>
      </c>
      <c r="K20" s="257">
        <v>0</v>
      </c>
      <c r="L20" s="440">
        <f>1.63/SUM(I20:K20)</f>
        <v>0.79901960784313719</v>
      </c>
      <c r="M20" s="146">
        <f>SUM(I20:K20)*0.41</f>
        <v>0.83639999999999992</v>
      </c>
      <c r="N20" s="34">
        <f>I20*1.76+J20*0.5+K20*0.13</f>
        <v>3.0737999999999999</v>
      </c>
      <c r="O20" s="34">
        <f>I20*9.39+J20*6.99+K20*2.36</f>
        <v>18.171599999999998</v>
      </c>
      <c r="P20" s="497">
        <f>I20*676.94+J20*101.08+K20*77.38</f>
        <v>1144.855</v>
      </c>
      <c r="Q20" s="146" t="s">
        <v>285</v>
      </c>
      <c r="R20" s="500">
        <v>5615</v>
      </c>
      <c r="S20" s="34">
        <f>IF(R20="NA", 0, (R20/43560)*12/I20)</f>
        <v>0.94897666007537729</v>
      </c>
      <c r="T20" s="441" t="s">
        <v>296</v>
      </c>
      <c r="U20" s="444">
        <f>IF(Q20="RR",IF((0.0304*(S20^5)-0.2619*(S20^4)+0.9161*(S20^3)-1.6837*(S20^2)+1.7072*S20-0.0091)&gt;0.85,0.85,IF((0.0304*(S20^5)-0.2619*(S20^4)+0.9161*(S20^3)-1.6837*(S20^2)+1.7072*S20-0.0091)&lt;0,0,(0.0304*(S20^5)-0.2619*(S20^4)+0.9161*(S20^3)-1.6837*(S20^2)+1.7072*S20-0.0091))),IF((0.0239*(S20^5)-0.2058*(S20^4)+0.7198*(S20^3)-1.3229*(S20^2)+1.3414*S20-0.0072)&gt;0.65,0.65,IF((0.0239*(S20^5)-0.2058*(S20^4)+0.7198*(S20^3)-1.3229*(S20^2)+1.3414*S20-0.0072)&lt;0,0,(0.0239*(S20^5)-0.2058*(S20^4)+0.7198*(S20^3)-1.3229*(S20^2)+1.3414*S20-0.0072))))</f>
        <v>0.68862637225551837</v>
      </c>
      <c r="V20" s="133">
        <f>U20*N20</f>
        <v>2.1166997430390122</v>
      </c>
      <c r="W20" s="132">
        <f>IF(Q20="RR",IF((0.0308*(S20^5)-0.2562*(S20^4)+0.8634*(S20^3)-1.5285*(S20^2)+1.501*S20-0.013)&gt;0.7,0.7,IF((0.0308*(S20^5)-0.2562*(S20^4)+0.8634*(S20^3)-1.5285*(S20^2)+1.501*S20-0.013)&lt;0,0,(0.0308*(S20^5)-0.2562*(S20^4)+0.8634*(S20^3)-1.5285*(S20^2)+1.501*S20-0.013))),IF((0.0152*(S20^5)-0.131*(S20^4)+0.4581*(S20^3)-0.8418*(S20^2)+0.8536*S20-0.0046)&gt;0.65,0.65,IF((0.0152*(S20^5)-0.131*(S20^4)+0.4581*(S20^3)-0.8418*(S20^2)+0.8536*S20-0.0046)&lt;0,0,(0.0152*(S20^5)-0.131*(S20^4)+0.4581*(S20^3)-0.8418*(S20^2)+0.8536*S20-0.0046))))</f>
        <v>0.58870654323343719</v>
      </c>
      <c r="X20" s="133">
        <f>W20*(O20)</f>
        <v>10.697739821020726</v>
      </c>
      <c r="Y20" s="132">
        <f>IF(Q20="RR",IF((0.0326*(S20^5)-0.2806*(S20^4)+0.9816*(S20^3)-1.8039*(S20^2)+1.8292*S20-0.0098)&gt;0.85,0.85,IF((0.0326*(S20^5)-0.2806*(S20^4)+0.9816*(S20^3)-1.8039*(S20^2)+1.8292*S20-0.0098)&lt;0,0,(0.0326*(S20^5)-0.2806*(S20^4)+0.9816*(S20^3)-1.8039*(S20^2)+1.8292*S20-0.0098))),IF((0.0304*(S20^5)-0.2619*(S20^4)+0.9161*(S20^3)-1.6837*(S20^2)+1.7072*S20-0.0091)&gt;0.8,0.8,IF((0.0304*(S20^5)-0.2619*(S20^4)+0.9161*(S20^3)-1.6837*(S20^2)+1.7072*S20-0.0091)&lt;0,0,(0.0304*(S20^5)-0.2619*(S20^4)+0.9161*(S20^3)-1.6837*(S20^2)+1.7072*S20-0.0091))))</f>
        <v>0.73795881156571208</v>
      </c>
      <c r="Z20" s="137">
        <f>Y20*(P20)</f>
        <v>844.85583521506328</v>
      </c>
      <c r="AA20" s="442">
        <f>IF(ISNA(VLOOKUP(F20,'Efficiency Lookup'!$D$2:$E$35,2,FALSE)),0,VLOOKUP(F20,'Efficiency Lookup'!$D$2:$E$35,2,FALSE))</f>
        <v>0.75</v>
      </c>
      <c r="AB20" s="313">
        <f>N20*AA20</f>
        <v>2.3053499999999998</v>
      </c>
      <c r="AC20" s="443">
        <f>IF(ISNA(VLOOKUP(F20,'Efficiency Lookup'!$D$2:$G$35,3,FALSE)),0,VLOOKUP(F20,'Efficiency Lookup'!$D$2:$G$35,3,FALSE))</f>
        <v>0.7</v>
      </c>
      <c r="AD20" s="313">
        <f>AC20*(O20)</f>
        <v>12.720119999999998</v>
      </c>
      <c r="AE20" s="443">
        <f>IF(ISNA(VLOOKUP(F20,'Efficiency Lookup'!$D$2:$G$35,4,FALSE)),0,VLOOKUP(F20,'Efficiency Lookup'!$D$2:$G$35,4,FALSE))</f>
        <v>0.8</v>
      </c>
      <c r="AF20" s="313">
        <f>AE20*(P20)</f>
        <v>915.88400000000001</v>
      </c>
      <c r="AG20" s="400">
        <f>MAX(V20,AB20)</f>
        <v>2.3053499999999998</v>
      </c>
      <c r="AH20" s="313">
        <f>IF(AG20=V20,X20,AD20)</f>
        <v>12.720119999999998</v>
      </c>
      <c r="AI20" s="313">
        <f>IF(AG20=V20, Z20,AF20)</f>
        <v>915.88400000000001</v>
      </c>
      <c r="AJ20" s="470">
        <f>IF(G20="Y",0,IF(E20="Channel Restoration", I20*0.01*20+J20*0.002*20, N20-M20))</f>
        <v>2.2374000000000001</v>
      </c>
      <c r="AK20" s="488" t="s">
        <v>537</v>
      </c>
      <c r="AL20" s="489" t="s">
        <v>537</v>
      </c>
      <c r="AM20" s="146">
        <f>IF(AG20-AJ20&lt;0, 0, AG20-AJ20)</f>
        <v>6.7949999999999733E-2</v>
      </c>
      <c r="AN20" s="34">
        <f>$AM$20/$AG$20*AH20</f>
        <v>0.37492448174897375</v>
      </c>
      <c r="AO20" s="34">
        <f>$AM$20/$AG$20*AI20</f>
        <v>26.995604918992676</v>
      </c>
      <c r="AP20" s="438">
        <f>114172</f>
        <v>114172</v>
      </c>
      <c r="AQ20" s="438">
        <v>69436</v>
      </c>
      <c r="AR20" s="438">
        <f>AP20+AQ20</f>
        <v>183608</v>
      </c>
      <c r="AS20" s="438">
        <f>AR20/AM20</f>
        <v>2702104.4885945655</v>
      </c>
      <c r="AT20" s="579"/>
      <c r="AV20" s="580"/>
    </row>
    <row r="21" spans="1:48" x14ac:dyDescent="0.25">
      <c r="B21" s="261"/>
      <c r="C21" s="466"/>
      <c r="D21" s="201"/>
      <c r="I21" s="439"/>
      <c r="J21" s="257"/>
      <c r="K21" s="257"/>
      <c r="L21" s="440"/>
      <c r="M21" s="146"/>
      <c r="N21" s="34"/>
      <c r="O21" s="34"/>
      <c r="P21" s="497"/>
      <c r="Q21" s="306"/>
      <c r="R21" s="503"/>
      <c r="S21" s="313"/>
      <c r="T21" s="145"/>
      <c r="U21" s="442"/>
      <c r="V21" s="313"/>
      <c r="W21" s="443"/>
      <c r="X21" s="313"/>
      <c r="Y21" s="443"/>
      <c r="Z21" s="401"/>
      <c r="AA21" s="442"/>
      <c r="AB21" s="313"/>
      <c r="AC21" s="443"/>
      <c r="AD21" s="313"/>
      <c r="AE21" s="443"/>
      <c r="AF21" s="313"/>
      <c r="AG21" s="400"/>
      <c r="AH21" s="313"/>
      <c r="AI21" s="313"/>
      <c r="AJ21" s="146"/>
      <c r="AK21" s="34"/>
      <c r="AL21" s="144"/>
      <c r="AM21" s="146"/>
      <c r="AN21" s="34"/>
      <c r="AO21" s="34"/>
      <c r="AP21" s="462"/>
      <c r="AQ21" s="438"/>
      <c r="AR21" s="438"/>
      <c r="AS21" s="438"/>
    </row>
    <row r="22" spans="1:48" x14ac:dyDescent="0.25">
      <c r="A22" s="446"/>
      <c r="B22" s="446"/>
      <c r="C22" s="491"/>
      <c r="D22" s="491"/>
      <c r="E22" s="449"/>
      <c r="F22" s="481"/>
      <c r="G22" s="492"/>
      <c r="H22" s="446"/>
      <c r="I22" s="483"/>
      <c r="J22" s="458"/>
      <c r="K22" s="458"/>
      <c r="L22" s="453"/>
      <c r="M22" s="454"/>
      <c r="N22" s="455"/>
      <c r="O22" s="455"/>
      <c r="P22" s="498"/>
      <c r="Q22" s="454"/>
      <c r="R22" s="505"/>
      <c r="S22" s="455"/>
      <c r="T22" s="493"/>
      <c r="U22" s="457"/>
      <c r="V22" s="458"/>
      <c r="W22" s="459"/>
      <c r="X22" s="458"/>
      <c r="Y22" s="459"/>
      <c r="Z22" s="460"/>
      <c r="AA22" s="457"/>
      <c r="AB22" s="458"/>
      <c r="AC22" s="459"/>
      <c r="AD22" s="458"/>
      <c r="AE22" s="459"/>
      <c r="AF22" s="458"/>
      <c r="AG22" s="483"/>
      <c r="AH22" s="458"/>
      <c r="AI22" s="458"/>
      <c r="AJ22" s="454"/>
      <c r="AK22" s="455"/>
      <c r="AL22" s="456"/>
      <c r="AM22" s="454"/>
      <c r="AN22" s="455"/>
      <c r="AO22" s="455"/>
      <c r="AP22" s="490"/>
      <c r="AQ22" s="490"/>
      <c r="AR22" s="490"/>
      <c r="AS22" s="490"/>
    </row>
    <row r="23" spans="1:48" x14ac:dyDescent="0.25">
      <c r="A23" s="1053" t="s">
        <v>621</v>
      </c>
      <c r="D23" s="14"/>
      <c r="E23" s="1048"/>
      <c r="F23" s="1021"/>
      <c r="G23" s="259"/>
      <c r="H23" s="143"/>
      <c r="I23" s="313"/>
      <c r="J23" s="313"/>
      <c r="K23" s="313"/>
      <c r="L23" s="440"/>
      <c r="M23" s="34"/>
      <c r="N23" s="34"/>
      <c r="O23" s="34"/>
      <c r="P23" s="497"/>
      <c r="Q23" s="34"/>
      <c r="R23" s="500"/>
      <c r="S23" s="34"/>
      <c r="T23" s="494"/>
      <c r="U23" s="442"/>
      <c r="V23" s="313"/>
      <c r="W23" s="443"/>
      <c r="X23" s="313"/>
      <c r="Y23" s="443"/>
      <c r="Z23" s="401"/>
      <c r="AA23" s="443"/>
      <c r="AB23" s="313"/>
      <c r="AC23" s="443"/>
      <c r="AD23" s="313"/>
      <c r="AE23" s="443"/>
      <c r="AF23" s="313"/>
      <c r="AG23" s="400"/>
      <c r="AH23" s="313"/>
      <c r="AI23" s="401"/>
      <c r="AJ23" s="34"/>
      <c r="AK23" s="34"/>
      <c r="AL23" s="34"/>
      <c r="AM23" s="146"/>
      <c r="AN23" s="34"/>
      <c r="AO23" s="34"/>
      <c r="AP23" s="462"/>
      <c r="AQ23" s="462"/>
      <c r="AR23" s="462"/>
      <c r="AS23" s="462"/>
    </row>
    <row r="24" spans="1:48" s="70" customFormat="1" x14ac:dyDescent="0.25">
      <c r="B24" s="261" t="s">
        <v>622</v>
      </c>
      <c r="C24" s="510">
        <v>2013</v>
      </c>
      <c r="D24" s="26">
        <v>126.01</v>
      </c>
      <c r="E24" s="510" t="s">
        <v>617</v>
      </c>
      <c r="F24" s="511" t="s">
        <v>277</v>
      </c>
      <c r="G24" s="512" t="s">
        <v>612</v>
      </c>
      <c r="I24" s="513">
        <v>122.91</v>
      </c>
      <c r="J24" s="514">
        <v>80.52</v>
      </c>
      <c r="K24" s="514">
        <v>42.27</v>
      </c>
      <c r="L24" s="515">
        <f>I24/SUM(I24:K24)</f>
        <v>0.50024420024420024</v>
      </c>
      <c r="M24" s="516">
        <f>SUM(I24:K24)*0.45</f>
        <v>110.56500000000001</v>
      </c>
      <c r="N24" s="1022">
        <f>I24*1.76+J24*0.5+K24*0.13</f>
        <v>262.07669999999996</v>
      </c>
      <c r="O24" s="1022">
        <f>I24*9.39+J24*6.99+K24*2.36</f>
        <v>1816.7168999999999</v>
      </c>
      <c r="P24" s="517">
        <f>I24*676.94+J24*101.08+K24*77.38</f>
        <v>94612.509600000005</v>
      </c>
      <c r="Q24" s="516" t="s">
        <v>278</v>
      </c>
      <c r="R24" s="518">
        <v>58911</v>
      </c>
      <c r="S24" s="1022">
        <f>IF(R24="NA", 0, (R24/43560)*12/I24)</f>
        <v>0.13203909868875366</v>
      </c>
      <c r="T24" s="519" t="s">
        <v>286</v>
      </c>
      <c r="U24" s="520">
        <f>IF(Q24="RR",IF((0.0304*(S24^5)-0.2619*(S24^4)+0.9161*(S24^3)-1.6837*(S24^2)+1.7072*S24-0.0091)&gt;0.85,0.85,IF((0.0304*(S24^5)-0.2619*(S24^4)+0.9161*(S24^3)-1.6837*(S24^2)+1.7072*S24-0.0091)&lt;0,0,(0.0304*(S24^5)-0.2619*(S24^4)+0.9161*(S24^3)-1.6837*(S24^2)+1.7072*S24-0.0091))),IF((0.0239*(S24^5)-0.2058*(S24^4)+0.7198*(S24^3)-1.3229*(S24^2)+1.3414*S24-0.0072)&gt;0.65,0.65,IF((0.0239*(S24^5)-0.2058*(S24^4)+0.7198*(S24^3)-1.3229*(S24^2)+1.3414*S24-0.0072)&lt;0,0,(0.0239*(S24^5)-0.2058*(S24^4)+0.7198*(S24^3)-1.3229*(S24^2)+1.3414*S24-0.0072))))</f>
        <v>0.14844877395200404</v>
      </c>
      <c r="V24" s="1005">
        <f>U24*N24</f>
        <v>38.904964796387169</v>
      </c>
      <c r="W24" s="521">
        <f>IF(Q24="RR",IF((0.0308*(S24^5)-0.2562*(S24^4)+0.8634*(S24^3)-1.5285*(S24^2)+1.501*S24-0.013)&gt;0.7,0.7,IF((0.0308*(S24^5)-0.2562*(S24^4)+0.8634*(S24^3)-1.5285*(S24^2)+1.501*S24-0.013)&lt;0,0,(0.0308*(S24^5)-0.2562*(S24^4)+0.8634*(S24^3)-1.5285*(S24^2)+1.501*S24-0.013))),IF((0.0152*(S24^5)-0.131*(S24^4)+0.4581*(S24^3)-0.8418*(S24^2)+0.8536*S24-0.0046)&gt;0.65,0.65,IF((0.0152*(S24^5)-0.131*(S24^4)+0.4581*(S24^3)-0.8418*(S24^2)+0.8536*S24-0.0046)&lt;0,0,(0.0152*(S24^5)-0.131*(S24^4)+0.4581*(S24^3)-0.8418*(S24^2)+0.8536*S24-0.0046))))</f>
        <v>9.4447704765146329E-2</v>
      </c>
      <c r="X24" s="1005">
        <f>W24*(O24)</f>
        <v>171.58474141305186</v>
      </c>
      <c r="Y24" s="521">
        <f>IF(Q24="RR",IF((0.0326*(S24^5)-0.2806*(S24^4)+0.9816*(S24^3)-1.8039*(S24^2)+1.8292*S24-0.0098)&gt;0.85,0.85,IF((0.0326*(S24^5)-0.2806*(S24^4)+0.9816*(S24^3)-1.8039*(S24^2)+1.8292*S24-0.0098)&lt;0,0,(0.0326*(S24^5)-0.2806*(S24^4)+0.9816*(S24^3)-1.8039*(S24^2)+1.8292*S24-0.0098))),IF((0.0304*(S24^5)-0.2619*(S24^4)+0.9161*(S24^3)-1.6837*(S24^2)+1.7072*S24-0.0091)&gt;0.8,0.8,IF((0.0304*(S24^5)-0.2619*(S24^4)+0.9161*(S24^3)-1.6837*(S24^2)+1.7072*S24-0.0091)&lt;0,0,(0.0304*(S24^5)-0.2619*(S24^4)+0.9161*(S24^3)-1.6837*(S24^2)+1.7072*S24-0.0091))))</f>
        <v>0.18899346629226105</v>
      </c>
      <c r="Z24" s="1005">
        <f>Y24*(P24)</f>
        <v>17881.146143913826</v>
      </c>
      <c r="AA24" s="522">
        <f>IF(ISNA(VLOOKUP(F24,'Efficiency Lookup'!$D$2:$E$35,2,FALSE)),0,VLOOKUP(F24,'Efficiency Lookup'!$D$2:$E$35,2,FALSE))</f>
        <v>0.45</v>
      </c>
      <c r="AB24" s="523">
        <f>N24*AA24</f>
        <v>117.93451499999999</v>
      </c>
      <c r="AC24" s="524">
        <f>IF(ISNA(VLOOKUP(F24,'Efficiency Lookup'!$D$2:$G$35,3,FALSE)),0,VLOOKUP(F24,'Efficiency Lookup'!$D$2:$G$35,3,FALSE))</f>
        <v>0.2</v>
      </c>
      <c r="AD24" s="523">
        <f>AC24*(O24)</f>
        <v>363.34338000000002</v>
      </c>
      <c r="AE24" s="524">
        <f>IF(ISNA(VLOOKUP(F24,'Efficiency Lookup'!$D$2:$G$35,4,FALSE)),0,VLOOKUP(F24,'Efficiency Lookup'!$D$2:$G$35,4,FALSE))</f>
        <v>0.6</v>
      </c>
      <c r="AF24" s="523">
        <f>AE24*(P24)</f>
        <v>56767.50576</v>
      </c>
      <c r="AG24" s="416">
        <f>V24</f>
        <v>38.904964796387169</v>
      </c>
      <c r="AH24" s="1005">
        <f>X24</f>
        <v>171.58474141305186</v>
      </c>
      <c r="AI24" s="1005">
        <f>IF(AG24=V24, Z24,AF24)</f>
        <v>17881.146143913826</v>
      </c>
      <c r="AJ24" s="516">
        <f>IF(G24="Y",0,IF(E24="Channel Restoration", I24*0.01*20+J24*0.002*20, N24-M24))</f>
        <v>0</v>
      </c>
      <c r="AK24" s="1022">
        <f>IF(G24="Y",0,IF(E24="Channel Restoration", I24*0.04*20+J24*0.02*20, AJ24*5.2))</f>
        <v>0</v>
      </c>
      <c r="AL24" s="525">
        <f>IF(G24="Y",0,IF(E24="Channel Restoration", I24*6.67*20+J24*0.44*20, AJ24*420.9))</f>
        <v>0</v>
      </c>
      <c r="AM24" s="516">
        <f>IF(AG24-AJ24&lt;0, 0, AG24-AJ24)</f>
        <v>38.904964796387169</v>
      </c>
      <c r="AN24" s="1022">
        <f>IF(AH24-AK24&lt;0, 0, AH24-AK24)</f>
        <v>171.58474141305186</v>
      </c>
      <c r="AO24" s="1022">
        <f>IF(AI24-AL24&lt;0,0,AI24-AL24)</f>
        <v>17881.146143913826</v>
      </c>
      <c r="AP24" s="438">
        <v>311507</v>
      </c>
      <c r="AQ24" s="438">
        <v>202522</v>
      </c>
      <c r="AR24" s="438">
        <f>AP24+AQ24</f>
        <v>514029</v>
      </c>
      <c r="AS24" s="438">
        <f>AR24/AM24</f>
        <v>13212.426812110476</v>
      </c>
    </row>
    <row r="25" spans="1:48" x14ac:dyDescent="0.25">
      <c r="D25" s="14"/>
      <c r="E25" s="1048"/>
      <c r="F25" s="1021"/>
      <c r="G25" s="259"/>
      <c r="I25" s="495"/>
      <c r="J25" s="11"/>
      <c r="K25" s="11"/>
      <c r="L25" s="143"/>
      <c r="M25" s="327"/>
      <c r="N25" s="8"/>
      <c r="O25" s="8"/>
      <c r="P25" s="141"/>
      <c r="Q25" s="146"/>
      <c r="R25" s="257"/>
      <c r="S25" s="258"/>
      <c r="T25" s="144"/>
      <c r="U25" s="442"/>
      <c r="V25" s="313"/>
      <c r="W25" s="443"/>
      <c r="X25" s="313"/>
      <c r="Y25" s="443"/>
      <c r="Z25" s="401"/>
      <c r="AA25" s="496"/>
      <c r="AB25" s="313"/>
      <c r="AC25" s="288"/>
      <c r="AD25" s="313"/>
      <c r="AE25" s="288"/>
      <c r="AF25" s="313"/>
      <c r="AG25" s="400"/>
      <c r="AH25" s="313"/>
      <c r="AI25" s="313"/>
      <c r="AJ25" s="146"/>
      <c r="AK25" s="34"/>
      <c r="AL25" s="144"/>
      <c r="AM25" s="327"/>
      <c r="AN25" s="8"/>
      <c r="AO25" s="8"/>
    </row>
    <row r="29" spans="1:48" x14ac:dyDescent="0.25">
      <c r="AN29" s="17"/>
    </row>
  </sheetData>
  <mergeCells count="10">
    <mergeCell ref="AA6:AF6"/>
    <mergeCell ref="A4:B4"/>
    <mergeCell ref="AG6:AI6"/>
    <mergeCell ref="AJ6:AL6"/>
    <mergeCell ref="AM6:AO6"/>
    <mergeCell ref="H6:H7"/>
    <mergeCell ref="I6:K6"/>
    <mergeCell ref="M6:P6"/>
    <mergeCell ref="Q6:T6"/>
    <mergeCell ref="U6:Z6"/>
  </mergeCells>
  <dataValidations count="3">
    <dataValidation type="list" allowBlank="1" showInputMessage="1" showErrorMessage="1" sqref="F15:F16 F22:F25" xr:uid="{00000000-0002-0000-0400-000000000000}">
      <formula1>INDIRECT($E15&amp;"CBP")</formula1>
    </dataValidation>
    <dataValidation type="list" allowBlank="1" showInputMessage="1" showErrorMessage="1" sqref="E11 E20 E15:E16 E22:E25" xr:uid="{00000000-0002-0000-0400-000001000000}">
      <formula1>Common_Names</formula1>
    </dataValidation>
    <dataValidation type="list" allowBlank="1" showInputMessage="1" showErrorMessage="1" sqref="F11 F20" xr:uid="{00000000-0002-0000-0400-000002000000}">
      <formula1>INDIRECT($E$20&amp;"CBP")</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L32"/>
  <sheetViews>
    <sheetView topLeftCell="A4" workbookViewId="0">
      <selection activeCell="B21" sqref="B21"/>
    </sheetView>
  </sheetViews>
  <sheetFormatPr defaultRowHeight="15" x14ac:dyDescent="0.25"/>
  <cols>
    <col min="2" max="2" width="32.42578125" customWidth="1"/>
    <col min="3" max="3" width="10" customWidth="1"/>
    <col min="4" max="4" width="14.7109375" customWidth="1"/>
    <col min="5" max="7" width="12.42578125" customWidth="1"/>
    <col min="8" max="8" width="11" style="953" customWidth="1"/>
    <col min="9" max="9" width="8.85546875" style="953"/>
    <col min="10" max="10" width="10" style="953" customWidth="1"/>
    <col min="11" max="11" width="10.85546875" style="953" customWidth="1"/>
    <col min="12" max="12" width="12.140625" style="953" customWidth="1"/>
    <col min="13" max="13" width="10.5703125" customWidth="1"/>
    <col min="14" max="14" width="11.42578125" customWidth="1"/>
    <col min="15" max="15" width="12.42578125" customWidth="1"/>
  </cols>
  <sheetData>
    <row r="3" spans="1:38" s="880" customFormat="1" ht="84.75" customHeight="1" x14ac:dyDescent="0.25">
      <c r="A3" s="878" t="s">
        <v>542</v>
      </c>
      <c r="B3" s="878"/>
      <c r="C3" s="879"/>
      <c r="D3" s="878"/>
      <c r="E3" s="1161" t="s">
        <v>543</v>
      </c>
      <c r="F3" s="1162"/>
      <c r="G3" s="1162"/>
      <c r="H3" s="1163" t="s">
        <v>544</v>
      </c>
      <c r="I3" s="1164"/>
      <c r="J3" s="1163" t="s">
        <v>545</v>
      </c>
      <c r="K3" s="1164"/>
      <c r="L3" s="939" t="s">
        <v>546</v>
      </c>
      <c r="M3" s="1165" t="s">
        <v>547</v>
      </c>
      <c r="N3" s="1165"/>
      <c r="O3" s="1165"/>
      <c r="P3" s="1166" t="s">
        <v>548</v>
      </c>
      <c r="Q3" s="1167"/>
      <c r="R3" s="1167"/>
      <c r="S3" s="1167"/>
      <c r="T3" s="1167"/>
      <c r="U3" s="1167"/>
      <c r="V3" s="1167"/>
      <c r="W3" s="1167"/>
      <c r="X3" s="1168"/>
      <c r="Y3" s="1187" t="s">
        <v>549</v>
      </c>
      <c r="Z3" s="1188"/>
      <c r="AA3" s="1189"/>
      <c r="AB3" s="1183" t="s">
        <v>550</v>
      </c>
      <c r="AC3" s="1183"/>
      <c r="AD3" s="1184"/>
      <c r="AE3" s="1185" t="s">
        <v>551</v>
      </c>
      <c r="AF3" s="1186"/>
      <c r="AG3" s="1186"/>
    </row>
    <row r="4" spans="1:38" s="880" customFormat="1" ht="21" customHeight="1" x14ac:dyDescent="0.25">
      <c r="A4" s="878"/>
      <c r="B4" s="878"/>
      <c r="C4" s="879"/>
      <c r="D4" s="878"/>
      <c r="E4" s="1039"/>
      <c r="F4" s="1040"/>
      <c r="G4" s="1040"/>
      <c r="H4" s="1041"/>
      <c r="I4" s="940"/>
      <c r="J4" s="1041"/>
      <c r="K4" s="1042"/>
      <c r="L4" s="939"/>
      <c r="M4" s="881"/>
      <c r="N4" s="881"/>
      <c r="O4" s="881"/>
      <c r="P4" s="1166" t="s">
        <v>552</v>
      </c>
      <c r="Q4" s="1167"/>
      <c r="R4" s="1167"/>
      <c r="S4" s="1167" t="s">
        <v>553</v>
      </c>
      <c r="T4" s="1167"/>
      <c r="U4" s="1167"/>
      <c r="V4" s="1167" t="s">
        <v>554</v>
      </c>
      <c r="W4" s="1167"/>
      <c r="X4" s="1168"/>
      <c r="Y4" s="1045"/>
      <c r="Z4" s="1046"/>
      <c r="AA4" s="1047"/>
      <c r="AB4" s="1046"/>
      <c r="AC4" s="1046"/>
      <c r="AD4" s="1046"/>
      <c r="AE4" s="1043"/>
      <c r="AF4" s="1044"/>
      <c r="AG4" s="1044"/>
    </row>
    <row r="5" spans="1:38" s="880" customFormat="1" ht="51.6" customHeight="1" x14ac:dyDescent="0.25">
      <c r="A5" s="882" t="s">
        <v>555</v>
      </c>
      <c r="B5" s="883" t="s">
        <v>556</v>
      </c>
      <c r="C5" s="884" t="s">
        <v>557</v>
      </c>
      <c r="D5" s="884" t="s">
        <v>558</v>
      </c>
      <c r="E5" s="885" t="s">
        <v>261</v>
      </c>
      <c r="F5" s="886" t="s">
        <v>559</v>
      </c>
      <c r="G5" s="886" t="s">
        <v>560</v>
      </c>
      <c r="H5" s="941" t="s">
        <v>561</v>
      </c>
      <c r="I5" s="942" t="s">
        <v>562</v>
      </c>
      <c r="J5" s="941" t="s">
        <v>561</v>
      </c>
      <c r="K5" s="943" t="s">
        <v>562</v>
      </c>
      <c r="L5" s="944"/>
      <c r="M5" s="887" t="s">
        <v>552</v>
      </c>
      <c r="N5" s="887" t="s">
        <v>553</v>
      </c>
      <c r="O5" s="887" t="s">
        <v>554</v>
      </c>
      <c r="P5" s="888" t="s">
        <v>261</v>
      </c>
      <c r="Q5" s="889" t="s">
        <v>559</v>
      </c>
      <c r="R5" s="889" t="s">
        <v>560</v>
      </c>
      <c r="S5" s="889" t="s">
        <v>261</v>
      </c>
      <c r="T5" s="889" t="s">
        <v>559</v>
      </c>
      <c r="U5" s="889" t="s">
        <v>560</v>
      </c>
      <c r="V5" s="889" t="s">
        <v>261</v>
      </c>
      <c r="W5" s="889" t="s">
        <v>559</v>
      </c>
      <c r="X5" s="890" t="s">
        <v>560</v>
      </c>
      <c r="Y5" s="891" t="s">
        <v>563</v>
      </c>
      <c r="Z5" s="892" t="s">
        <v>564</v>
      </c>
      <c r="AA5" s="893" t="s">
        <v>565</v>
      </c>
      <c r="AB5" s="891" t="s">
        <v>563</v>
      </c>
      <c r="AC5" s="892" t="s">
        <v>564</v>
      </c>
      <c r="AD5" s="893" t="s">
        <v>565</v>
      </c>
      <c r="AE5" s="894" t="s">
        <v>566</v>
      </c>
      <c r="AF5" s="895" t="s">
        <v>567</v>
      </c>
      <c r="AG5" s="895" t="s">
        <v>568</v>
      </c>
      <c r="AH5" s="896"/>
      <c r="AI5" s="896"/>
      <c r="AJ5" s="896"/>
      <c r="AK5" s="896"/>
    </row>
    <row r="6" spans="1:38" s="880" customFormat="1" ht="28.9" customHeight="1" x14ac:dyDescent="0.25">
      <c r="E6" s="1169" t="s">
        <v>569</v>
      </c>
      <c r="F6" s="1170"/>
      <c r="G6" s="1171"/>
      <c r="H6" s="1172" t="s">
        <v>570</v>
      </c>
      <c r="I6" s="1173"/>
      <c r="J6" s="1173"/>
      <c r="K6" s="1173"/>
      <c r="L6" s="1173"/>
      <c r="M6" s="1173"/>
      <c r="N6" s="1173"/>
      <c r="O6" s="1174"/>
      <c r="P6" s="1175" t="s">
        <v>571</v>
      </c>
      <c r="Q6" s="1176"/>
      <c r="R6" s="1176"/>
      <c r="S6" s="1176"/>
      <c r="T6" s="1176"/>
      <c r="U6" s="1176"/>
      <c r="V6" s="1176"/>
      <c r="W6" s="1176"/>
      <c r="X6" s="1177"/>
      <c r="Y6" s="1178" t="s">
        <v>572</v>
      </c>
      <c r="Z6" s="1179"/>
      <c r="AA6" s="1179"/>
      <c r="AB6" s="1179"/>
      <c r="AC6" s="1179"/>
      <c r="AD6" s="1180"/>
      <c r="AE6" s="1181" t="s">
        <v>573</v>
      </c>
      <c r="AF6" s="1182"/>
      <c r="AG6" s="1182"/>
    </row>
    <row r="7" spans="1:38" s="880" customFormat="1" ht="26.45" customHeight="1" x14ac:dyDescent="0.25">
      <c r="B7" s="897" t="s">
        <v>265</v>
      </c>
      <c r="E7" s="898"/>
      <c r="F7" s="899"/>
      <c r="G7" s="899"/>
      <c r="H7" s="945"/>
      <c r="I7" s="961"/>
      <c r="J7" s="946"/>
      <c r="K7" s="961"/>
      <c r="L7" s="962"/>
      <c r="M7" s="900"/>
      <c r="N7" s="900"/>
      <c r="O7" s="901"/>
      <c r="P7" s="902"/>
      <c r="Q7" s="902"/>
      <c r="R7" s="903"/>
      <c r="S7" s="902"/>
      <c r="T7" s="902"/>
      <c r="U7" s="903"/>
      <c r="V7" s="902"/>
      <c r="W7" s="902"/>
      <c r="X7" s="903"/>
      <c r="Y7" s="904"/>
      <c r="Z7" s="904"/>
      <c r="AA7" s="905"/>
      <c r="AB7" s="904"/>
      <c r="AC7" s="904"/>
      <c r="AD7" s="905"/>
      <c r="AE7" s="906"/>
      <c r="AF7" s="906"/>
      <c r="AG7" s="906"/>
      <c r="AH7" s="897"/>
      <c r="AI7" s="897"/>
      <c r="AJ7" s="897"/>
      <c r="AK7" s="897"/>
    </row>
    <row r="8" spans="1:38" s="931" customFormat="1" x14ac:dyDescent="0.25">
      <c r="E8" s="932"/>
      <c r="F8" s="933"/>
      <c r="G8" s="933"/>
      <c r="H8" s="947"/>
      <c r="I8" s="956"/>
      <c r="J8" s="948"/>
      <c r="K8" s="956"/>
      <c r="L8" s="958"/>
      <c r="O8" s="934"/>
      <c r="R8" s="934"/>
      <c r="U8" s="934"/>
      <c r="X8" s="934"/>
      <c r="Y8" s="935"/>
      <c r="Z8" s="935"/>
      <c r="AA8" s="936"/>
      <c r="AB8" s="935"/>
      <c r="AC8" s="935"/>
      <c r="AD8" s="936"/>
      <c r="AE8" s="935"/>
      <c r="AF8" s="935"/>
      <c r="AG8" s="935"/>
      <c r="AH8" s="937"/>
      <c r="AI8" s="937"/>
      <c r="AJ8" s="937"/>
      <c r="AK8" s="937"/>
      <c r="AL8" s="937"/>
    </row>
    <row r="9" spans="1:38" s="880" customFormat="1" x14ac:dyDescent="0.25">
      <c r="E9" s="990"/>
      <c r="F9" s="991"/>
      <c r="G9" s="991"/>
      <c r="H9" s="981"/>
      <c r="I9" s="982"/>
      <c r="J9" s="983"/>
      <c r="K9" s="982"/>
      <c r="L9" s="984"/>
      <c r="O9" s="985"/>
      <c r="R9" s="985"/>
      <c r="U9" s="985"/>
      <c r="X9" s="985"/>
      <c r="Y9" s="986"/>
      <c r="Z9" s="986"/>
      <c r="AA9" s="987"/>
      <c r="AB9" s="986"/>
      <c r="AC9" s="986"/>
      <c r="AD9" s="987"/>
      <c r="AE9" s="986"/>
      <c r="AF9" s="986"/>
      <c r="AG9" s="986"/>
    </row>
    <row r="10" spans="1:38" s="880" customFormat="1" x14ac:dyDescent="0.25">
      <c r="A10" s="988" t="s">
        <v>574</v>
      </c>
      <c r="E10" s="990"/>
      <c r="F10" s="991"/>
      <c r="G10" s="991"/>
      <c r="H10" s="981"/>
      <c r="I10" s="982"/>
      <c r="J10" s="983"/>
      <c r="K10" s="982"/>
      <c r="L10" s="984"/>
      <c r="O10" s="985"/>
      <c r="R10" s="985"/>
      <c r="U10" s="985"/>
      <c r="X10" s="985"/>
      <c r="Y10" s="986"/>
      <c r="Z10" s="986"/>
      <c r="AA10" s="987"/>
      <c r="AB10" s="986"/>
      <c r="AC10" s="986"/>
      <c r="AD10" s="987"/>
      <c r="AE10" s="986"/>
      <c r="AF10" s="986"/>
      <c r="AG10" s="986"/>
    </row>
    <row r="11" spans="1:38" s="880" customFormat="1" x14ac:dyDescent="0.25">
      <c r="E11" s="990"/>
      <c r="F11" s="991"/>
      <c r="G11" s="991"/>
      <c r="H11" s="981"/>
      <c r="I11" s="982"/>
      <c r="J11" s="983"/>
      <c r="K11" s="982"/>
      <c r="L11" s="984"/>
      <c r="O11" s="985"/>
      <c r="R11" s="985"/>
      <c r="U11" s="985"/>
      <c r="X11" s="985"/>
      <c r="Y11" s="986"/>
      <c r="Z11" s="986"/>
      <c r="AA11" s="987"/>
      <c r="AB11" s="986"/>
      <c r="AC11" s="986"/>
      <c r="AD11" s="987"/>
      <c r="AE11" s="986"/>
      <c r="AF11" s="986"/>
      <c r="AG11" s="986"/>
    </row>
    <row r="12" spans="1:38" s="880" customFormat="1" x14ac:dyDescent="0.25">
      <c r="A12" s="916" t="s">
        <v>575</v>
      </c>
      <c r="E12" s="907"/>
      <c r="F12" s="908"/>
      <c r="G12" s="908"/>
      <c r="H12" s="949"/>
      <c r="I12" s="957"/>
      <c r="J12" s="950"/>
      <c r="K12" s="957"/>
      <c r="L12" s="959"/>
      <c r="M12" s="909"/>
      <c r="N12" s="909"/>
      <c r="O12" s="910"/>
      <c r="P12" s="911"/>
      <c r="Q12" s="911"/>
      <c r="R12" s="912"/>
      <c r="S12" s="911"/>
      <c r="T12" s="911"/>
      <c r="U12" s="912"/>
      <c r="V12" s="911"/>
      <c r="W12" s="911"/>
      <c r="X12" s="912"/>
      <c r="Y12" s="913"/>
      <c r="Z12" s="913"/>
      <c r="AA12" s="914"/>
      <c r="AB12" s="913"/>
      <c r="AC12" s="913"/>
      <c r="AD12" s="914"/>
      <c r="AE12" s="915"/>
      <c r="AF12" s="915"/>
      <c r="AG12" s="915"/>
    </row>
    <row r="13" spans="1:38" s="917" customFormat="1" ht="24" customHeight="1" x14ac:dyDescent="0.25">
      <c r="B13" s="938" t="s">
        <v>576</v>
      </c>
      <c r="C13" s="954">
        <v>2012</v>
      </c>
      <c r="D13" s="918">
        <v>511</v>
      </c>
      <c r="E13" s="963">
        <f>0.068*D13</f>
        <v>34.748000000000005</v>
      </c>
      <c r="F13" s="964">
        <f>0.075*D13</f>
        <v>38.324999999999996</v>
      </c>
      <c r="G13" s="964">
        <f>44.88*D13</f>
        <v>22933.68</v>
      </c>
      <c r="H13" s="951">
        <v>0</v>
      </c>
      <c r="I13" s="955">
        <v>0</v>
      </c>
      <c r="J13" s="952">
        <v>6.35</v>
      </c>
      <c r="K13" s="955">
        <v>16.39</v>
      </c>
      <c r="L13" s="960">
        <v>2.09</v>
      </c>
      <c r="M13" s="920">
        <f>SUM(H13:I13)/SUM(H13:L13)</f>
        <v>0</v>
      </c>
      <c r="N13" s="920">
        <f>SUM(J13:K13)/SUM(H13:L13)</f>
        <v>0.91582762786951266</v>
      </c>
      <c r="O13" s="921">
        <f>L13/SUM(H13:L13)</f>
        <v>8.4172372130487297E-2</v>
      </c>
      <c r="P13" s="922">
        <f>E13*$M13</f>
        <v>0</v>
      </c>
      <c r="Q13" s="922">
        <f>F13*$M13</f>
        <v>0</v>
      </c>
      <c r="R13" s="923">
        <f>G13*$M13</f>
        <v>0</v>
      </c>
      <c r="S13" s="922">
        <f>E13*$N13</f>
        <v>31.823178413209831</v>
      </c>
      <c r="T13" s="922">
        <f t="shared" ref="T13" si="0">F13*$N13</f>
        <v>35.099093838099066</v>
      </c>
      <c r="U13" s="923">
        <f>G13*$N13</f>
        <v>21003.297752718485</v>
      </c>
      <c r="V13" s="922">
        <f>E13*$O13</f>
        <v>2.924821586790173</v>
      </c>
      <c r="W13" s="922">
        <f t="shared" ref="W13:X13" si="1">F13*$O13</f>
        <v>3.2259061619009253</v>
      </c>
      <c r="X13" s="923">
        <f t="shared" si="1"/>
        <v>1930.3822472815139</v>
      </c>
      <c r="Y13" s="924">
        <f>S13-0.01408*20*J13+0.0018125*20*K13</f>
        <v>30.629155913209829</v>
      </c>
      <c r="Z13" s="924">
        <f>T13-0.042255*20*J13+0.02097*20*K13</f>
        <v>36.606674838099067</v>
      </c>
      <c r="AA13" s="925">
        <f>U13-6.67*J13*20+0.44*K13*20</f>
        <v>20300.439752718485</v>
      </c>
      <c r="AB13" s="926">
        <f>IF(S13-Y13&gt;0,S13-Y13,0)</f>
        <v>1.1940225000000027</v>
      </c>
      <c r="AC13" s="926">
        <f>IF(T13-Z13&gt;0,T13-Z13,0)</f>
        <v>0</v>
      </c>
      <c r="AD13" s="927">
        <f>IF(U13-AA13&gt;0,U13-AA13,0)</f>
        <v>702.85800000000017</v>
      </c>
      <c r="AE13" s="928">
        <f>P13+V13+AB13</f>
        <v>4.1188440867901761</v>
      </c>
      <c r="AF13" s="928">
        <f>Q13+W13+AC13</f>
        <v>3.2259061619009253</v>
      </c>
      <c r="AG13" s="928">
        <f>R13+X13+AD13</f>
        <v>2633.2402472815138</v>
      </c>
      <c r="AH13" s="929"/>
      <c r="AI13" s="929"/>
      <c r="AJ13" s="929"/>
      <c r="AL13" s="930"/>
    </row>
    <row r="14" spans="1:38" s="931" customFormat="1" x14ac:dyDescent="0.25">
      <c r="E14" s="965"/>
      <c r="F14" s="966"/>
      <c r="G14" s="966"/>
      <c r="H14" s="947"/>
      <c r="I14" s="956"/>
      <c r="J14" s="948"/>
      <c r="K14" s="956"/>
      <c r="L14" s="958"/>
      <c r="O14" s="934"/>
      <c r="R14" s="934"/>
      <c r="U14" s="934"/>
      <c r="X14" s="934"/>
      <c r="Y14" s="935"/>
      <c r="Z14" s="935"/>
      <c r="AA14" s="936"/>
      <c r="AB14" s="935"/>
      <c r="AC14" s="935"/>
      <c r="AD14" s="936"/>
      <c r="AE14" s="935"/>
      <c r="AF14" s="935"/>
      <c r="AG14" s="935"/>
      <c r="AH14" s="937"/>
      <c r="AI14" s="937"/>
      <c r="AJ14" s="937"/>
      <c r="AK14" s="937"/>
      <c r="AL14" s="937"/>
    </row>
    <row r="15" spans="1:38" s="880" customFormat="1" x14ac:dyDescent="0.25">
      <c r="A15" s="916" t="s">
        <v>577</v>
      </c>
      <c r="E15" s="967"/>
      <c r="F15" s="968"/>
      <c r="G15" s="968"/>
      <c r="H15" s="949"/>
      <c r="I15" s="957"/>
      <c r="J15" s="950"/>
      <c r="K15" s="957"/>
      <c r="L15" s="959"/>
      <c r="M15" s="909"/>
      <c r="N15" s="909"/>
      <c r="O15" s="910"/>
      <c r="P15" s="911"/>
      <c r="Q15" s="911"/>
      <c r="R15" s="912"/>
      <c r="S15" s="911"/>
      <c r="T15" s="911"/>
      <c r="U15" s="912"/>
      <c r="V15" s="911"/>
      <c r="W15" s="911"/>
      <c r="X15" s="912"/>
      <c r="Y15" s="913"/>
      <c r="Z15" s="913"/>
      <c r="AA15" s="914"/>
      <c r="AB15" s="913"/>
      <c r="AC15" s="913"/>
      <c r="AD15" s="914"/>
      <c r="AE15" s="915"/>
      <c r="AF15" s="915"/>
      <c r="AG15" s="915"/>
    </row>
    <row r="16" spans="1:38" s="917" customFormat="1" ht="24" customHeight="1" x14ac:dyDescent="0.25">
      <c r="B16" s="938" t="s">
        <v>578</v>
      </c>
      <c r="C16" s="954">
        <v>2015</v>
      </c>
      <c r="D16" s="918">
        <v>360</v>
      </c>
      <c r="E16" s="963">
        <v>49</v>
      </c>
      <c r="F16" s="964">
        <v>145.33904000000001</v>
      </c>
      <c r="G16" s="964">
        <v>92000</v>
      </c>
      <c r="H16" s="951">
        <v>6.47</v>
      </c>
      <c r="I16" s="955">
        <v>5.53</v>
      </c>
      <c r="J16" s="952">
        <v>0</v>
      </c>
      <c r="K16" s="952">
        <v>0</v>
      </c>
      <c r="L16" s="951">
        <v>0.61</v>
      </c>
      <c r="M16" s="919">
        <f>SUM(H16:I16)/SUM(H16:L16)</f>
        <v>0.95162569389373519</v>
      </c>
      <c r="N16" s="920">
        <f>SUM(J16:K16)/SUM(H16:L16)</f>
        <v>0</v>
      </c>
      <c r="O16" s="921">
        <f>L16/SUM(H16:L16)</f>
        <v>4.8374306106264871E-2</v>
      </c>
      <c r="P16" s="922">
        <f>E16*$M16</f>
        <v>46.629659000793026</v>
      </c>
      <c r="Q16" s="922">
        <f>F16*$M16</f>
        <v>138.30836478984935</v>
      </c>
      <c r="R16" s="923">
        <f>G16*$M16</f>
        <v>87549.563838223636</v>
      </c>
      <c r="S16" s="922">
        <f>E16*$N16</f>
        <v>0</v>
      </c>
      <c r="T16" s="922">
        <f t="shared" ref="T16" si="2">F16*$N16</f>
        <v>0</v>
      </c>
      <c r="U16" s="923">
        <f>G16*$N16</f>
        <v>0</v>
      </c>
      <c r="V16" s="922">
        <f>E16*$O16</f>
        <v>2.3703409992069786</v>
      </c>
      <c r="W16" s="922">
        <f t="shared" ref="W16" si="3">F16*$O16</f>
        <v>7.0306752101506751</v>
      </c>
      <c r="X16" s="923">
        <f t="shared" ref="X16" si="4">G16*$O16</f>
        <v>4450.436161776368</v>
      </c>
      <c r="Y16" s="924">
        <f>S16-0.01408*20*J16+0.0018125*20*K16</f>
        <v>0</v>
      </c>
      <c r="Z16" s="924">
        <f>T16-0.042255*20*J16+0.02097*20*K16</f>
        <v>0</v>
      </c>
      <c r="AA16" s="925">
        <f>U16-6.67*J16*20+0.44*K16*20</f>
        <v>0</v>
      </c>
      <c r="AB16" s="926">
        <f>IF(S16-Y16&gt;0,S16-Y16,0)</f>
        <v>0</v>
      </c>
      <c r="AC16" s="926">
        <f>IF(T16-Z16&gt;0,T16-Z16,0)</f>
        <v>0</v>
      </c>
      <c r="AD16" s="927">
        <f>IF(U16-AA16&gt;0,U16-AA16,0)</f>
        <v>0</v>
      </c>
      <c r="AE16" s="928">
        <f>P16+V16+AB16</f>
        <v>49.000000000000007</v>
      </c>
      <c r="AF16" s="928">
        <f>Q16+W16+AC16</f>
        <v>145.33904000000001</v>
      </c>
      <c r="AG16" s="928">
        <f>R16+X16+AD16</f>
        <v>92000</v>
      </c>
      <c r="AH16" s="929"/>
      <c r="AI16" s="929"/>
      <c r="AJ16" s="929"/>
      <c r="AL16" s="930"/>
    </row>
    <row r="17" spans="1:38" s="931" customFormat="1" x14ac:dyDescent="0.25">
      <c r="E17" s="965"/>
      <c r="F17" s="966"/>
      <c r="G17" s="966"/>
      <c r="H17" s="947"/>
      <c r="I17" s="956"/>
      <c r="J17" s="948"/>
      <c r="K17" s="956"/>
      <c r="L17" s="958"/>
      <c r="O17" s="934"/>
      <c r="R17" s="934"/>
      <c r="U17" s="934"/>
      <c r="X17" s="934"/>
      <c r="Y17" s="935"/>
      <c r="Z17" s="935"/>
      <c r="AA17" s="936"/>
      <c r="AB17" s="935"/>
      <c r="AC17" s="935"/>
      <c r="AD17" s="936"/>
      <c r="AE17" s="935"/>
      <c r="AF17" s="935"/>
      <c r="AG17" s="935"/>
      <c r="AH17" s="937"/>
      <c r="AI17" s="937"/>
      <c r="AJ17" s="937"/>
      <c r="AK17" s="937"/>
      <c r="AL17" s="937"/>
    </row>
    <row r="18" spans="1:38" s="931" customFormat="1" x14ac:dyDescent="0.25">
      <c r="E18" s="965"/>
      <c r="F18" s="966"/>
      <c r="G18" s="966"/>
      <c r="H18" s="947"/>
      <c r="I18" s="956"/>
      <c r="J18" s="948"/>
      <c r="K18" s="956"/>
      <c r="L18" s="958"/>
      <c r="O18" s="934"/>
      <c r="R18" s="934"/>
      <c r="U18" s="934"/>
      <c r="X18" s="934"/>
      <c r="Y18" s="935"/>
      <c r="Z18" s="935"/>
      <c r="AA18" s="936"/>
      <c r="AB18" s="935"/>
      <c r="AC18" s="935"/>
      <c r="AD18" s="936"/>
      <c r="AE18" s="935"/>
      <c r="AF18" s="935"/>
      <c r="AG18" s="935"/>
      <c r="AH18" s="937"/>
      <c r="AI18" s="937"/>
      <c r="AJ18" s="937"/>
      <c r="AK18" s="937"/>
      <c r="AL18" s="937"/>
    </row>
    <row r="19" spans="1:38" s="880" customFormat="1" x14ac:dyDescent="0.25">
      <c r="E19" s="979"/>
      <c r="F19" s="980"/>
      <c r="G19" s="980"/>
      <c r="H19" s="981"/>
      <c r="I19" s="982"/>
      <c r="J19" s="983"/>
      <c r="K19" s="982"/>
      <c r="L19" s="984"/>
      <c r="O19" s="985"/>
      <c r="R19" s="985"/>
      <c r="U19" s="985"/>
      <c r="X19" s="985"/>
      <c r="Y19" s="986"/>
      <c r="Z19" s="986"/>
      <c r="AA19" s="987"/>
      <c r="AB19" s="986"/>
      <c r="AC19" s="986"/>
      <c r="AD19" s="987"/>
      <c r="AE19" s="986"/>
      <c r="AF19" s="986"/>
      <c r="AG19" s="986"/>
    </row>
    <row r="20" spans="1:38" s="880" customFormat="1" x14ac:dyDescent="0.25">
      <c r="A20" s="988" t="s">
        <v>579</v>
      </c>
      <c r="E20" s="979"/>
      <c r="F20" s="980"/>
      <c r="G20" s="980"/>
      <c r="H20" s="981"/>
      <c r="I20" s="982"/>
      <c r="J20" s="983"/>
      <c r="K20" s="982"/>
      <c r="L20" s="984"/>
      <c r="O20" s="985"/>
      <c r="R20" s="985"/>
      <c r="U20" s="985"/>
      <c r="X20" s="985"/>
      <c r="Y20" s="986"/>
      <c r="Z20" s="986"/>
      <c r="AA20" s="987"/>
      <c r="AB20" s="986"/>
      <c r="AC20" s="986"/>
      <c r="AD20" s="987"/>
      <c r="AE20" s="986"/>
      <c r="AF20" s="986"/>
      <c r="AG20" s="986"/>
    </row>
    <row r="21" spans="1:38" s="880" customFormat="1" x14ac:dyDescent="0.25">
      <c r="E21" s="979"/>
      <c r="F21" s="980"/>
      <c r="G21" s="980"/>
      <c r="H21" s="981"/>
      <c r="I21" s="982"/>
      <c r="J21" s="983"/>
      <c r="K21" s="982"/>
      <c r="L21" s="984"/>
      <c r="O21" s="985"/>
      <c r="R21" s="985"/>
      <c r="U21" s="985"/>
      <c r="X21" s="985"/>
      <c r="Y21" s="986"/>
      <c r="Z21" s="986"/>
      <c r="AA21" s="987"/>
      <c r="AB21" s="986"/>
      <c r="AC21" s="986"/>
      <c r="AD21" s="987"/>
      <c r="AE21" s="986"/>
      <c r="AF21" s="986"/>
      <c r="AG21" s="986"/>
    </row>
    <row r="22" spans="1:38" s="880" customFormat="1" x14ac:dyDescent="0.25">
      <c r="A22" s="916" t="s">
        <v>580</v>
      </c>
      <c r="E22" s="967"/>
      <c r="F22" s="968"/>
      <c r="G22" s="968"/>
      <c r="H22" s="949"/>
      <c r="I22" s="957"/>
      <c r="J22" s="950"/>
      <c r="K22" s="957"/>
      <c r="L22" s="959"/>
      <c r="M22" s="909"/>
      <c r="N22" s="909"/>
      <c r="O22" s="910"/>
      <c r="P22" s="911"/>
      <c r="Q22" s="911"/>
      <c r="R22" s="912"/>
      <c r="S22" s="911"/>
      <c r="T22" s="911"/>
      <c r="U22" s="912"/>
      <c r="V22" s="911"/>
      <c r="W22" s="911"/>
      <c r="X22" s="912"/>
      <c r="Y22" s="913"/>
      <c r="Z22" s="913"/>
      <c r="AA22" s="914"/>
      <c r="AB22" s="913"/>
      <c r="AC22" s="913"/>
      <c r="AD22" s="914"/>
      <c r="AE22" s="915"/>
      <c r="AF22" s="915"/>
      <c r="AG22" s="915"/>
    </row>
    <row r="23" spans="1:38" s="917" customFormat="1" ht="24" customHeight="1" x14ac:dyDescent="0.25">
      <c r="B23" s="938" t="s">
        <v>578</v>
      </c>
      <c r="C23" s="954">
        <v>2019</v>
      </c>
      <c r="D23" s="918">
        <v>650</v>
      </c>
      <c r="E23" s="963">
        <v>106.24</v>
      </c>
      <c r="F23" s="964">
        <v>295.33</v>
      </c>
      <c r="G23" s="964">
        <f>101.18*2000</f>
        <v>202360</v>
      </c>
      <c r="H23" s="951">
        <v>7.57</v>
      </c>
      <c r="I23" s="955">
        <v>11.02</v>
      </c>
      <c r="J23" s="952">
        <v>0</v>
      </c>
      <c r="K23" s="952">
        <v>0</v>
      </c>
      <c r="L23" s="951">
        <f>26.6-SUM(H23:I23)</f>
        <v>8.0100000000000016</v>
      </c>
      <c r="M23" s="919">
        <f>SUM(H23:I23)/SUM(H23:L23)</f>
        <v>0.69887218045112776</v>
      </c>
      <c r="N23" s="920">
        <f>SUM(J23:K23)/SUM(H23:L23)</f>
        <v>0</v>
      </c>
      <c r="O23" s="921">
        <f>L23/SUM(H23:L23)</f>
        <v>0.30112781954887224</v>
      </c>
      <c r="P23" s="922">
        <f>E23*$M23</f>
        <v>74.248180451127809</v>
      </c>
      <c r="Q23" s="922">
        <f>F23*$M23</f>
        <v>206.39792105263155</v>
      </c>
      <c r="R23" s="923">
        <f>G23*$M23</f>
        <v>141423.7744360902</v>
      </c>
      <c r="S23" s="922">
        <f>E23*$N23</f>
        <v>0</v>
      </c>
      <c r="T23" s="922">
        <f t="shared" ref="T23" si="5">F23*$N23</f>
        <v>0</v>
      </c>
      <c r="U23" s="923">
        <f>G23*$N23</f>
        <v>0</v>
      </c>
      <c r="V23" s="922">
        <f>E23*$O23</f>
        <v>31.991819548872186</v>
      </c>
      <c r="W23" s="922">
        <f t="shared" ref="W23" si="6">F23*$O23</f>
        <v>88.932078947368439</v>
      </c>
      <c r="X23" s="923">
        <f t="shared" ref="X23" si="7">G23*$O23</f>
        <v>60936.225563909786</v>
      </c>
      <c r="Y23" s="924">
        <f>S23-0.01408*20*J23+0.0018125*20*K23</f>
        <v>0</v>
      </c>
      <c r="Z23" s="924">
        <f>T23-0.042255*20*J23+0.02097*20*K23</f>
        <v>0</v>
      </c>
      <c r="AA23" s="925">
        <f>U23-6.67*J23*20+0.44*K23*20</f>
        <v>0</v>
      </c>
      <c r="AB23" s="926">
        <f>IF(S23-Y23&gt;0,S23-Y23,0)</f>
        <v>0</v>
      </c>
      <c r="AC23" s="926">
        <f>IF(T23-Z23&gt;0,T23-Z23,0)</f>
        <v>0</v>
      </c>
      <c r="AD23" s="927">
        <f>IF(U23-AA23&gt;0,U23-AA23,0)</f>
        <v>0</v>
      </c>
      <c r="AE23" s="928">
        <f>P23+V23+AB23</f>
        <v>106.24</v>
      </c>
      <c r="AF23" s="928" t="s">
        <v>581</v>
      </c>
      <c r="AG23" s="928">
        <f>R23+X23+AD23</f>
        <v>202360</v>
      </c>
      <c r="AH23" s="929"/>
      <c r="AI23" s="992" t="s">
        <v>582</v>
      </c>
      <c r="AJ23" s="929"/>
      <c r="AL23" s="930"/>
    </row>
    <row r="24" spans="1:38" s="931" customFormat="1" x14ac:dyDescent="0.25">
      <c r="E24" s="965"/>
      <c r="F24" s="966"/>
      <c r="G24" s="966"/>
      <c r="H24" s="947"/>
      <c r="I24" s="956"/>
      <c r="J24" s="948"/>
      <c r="K24" s="956"/>
      <c r="L24" s="958"/>
      <c r="O24" s="934"/>
      <c r="R24" s="934"/>
      <c r="U24" s="934"/>
      <c r="X24" s="934"/>
      <c r="Y24" s="935"/>
      <c r="Z24" s="935"/>
      <c r="AA24" s="936"/>
      <c r="AB24" s="935"/>
      <c r="AC24" s="935"/>
      <c r="AD24" s="936"/>
      <c r="AE24" s="935"/>
      <c r="AF24" s="935"/>
      <c r="AG24" s="935"/>
      <c r="AH24" s="937"/>
      <c r="AI24" s="937"/>
      <c r="AJ24" s="937"/>
      <c r="AK24" s="937"/>
      <c r="AL24" s="937"/>
    </row>
    <row r="25" spans="1:38" s="880" customFormat="1" x14ac:dyDescent="0.25">
      <c r="A25" s="916" t="s">
        <v>583</v>
      </c>
      <c r="E25" s="967"/>
      <c r="F25" s="968"/>
      <c r="G25" s="968"/>
      <c r="H25" s="949"/>
      <c r="I25" s="957"/>
      <c r="J25" s="950"/>
      <c r="K25" s="957"/>
      <c r="L25" s="959"/>
      <c r="M25" s="909"/>
      <c r="N25" s="909"/>
      <c r="O25" s="910"/>
      <c r="P25" s="911"/>
      <c r="Q25" s="911"/>
      <c r="R25" s="912"/>
      <c r="S25" s="911"/>
      <c r="T25" s="911"/>
      <c r="U25" s="912"/>
      <c r="V25" s="911"/>
      <c r="W25" s="911"/>
      <c r="X25" s="912"/>
      <c r="Y25" s="913"/>
      <c r="Z25" s="913"/>
      <c r="AA25" s="914"/>
      <c r="AB25" s="913"/>
      <c r="AC25" s="913"/>
      <c r="AD25" s="914"/>
      <c r="AE25" s="915"/>
      <c r="AF25" s="915"/>
      <c r="AG25" s="915"/>
    </row>
    <row r="26" spans="1:38" s="917" customFormat="1" ht="24" customHeight="1" x14ac:dyDescent="0.25">
      <c r="B26" s="938" t="s">
        <v>576</v>
      </c>
      <c r="C26" s="954">
        <v>2019</v>
      </c>
      <c r="D26" s="918">
        <v>1278</v>
      </c>
      <c r="E26" s="963">
        <f>0.068*D26</f>
        <v>86.904000000000011</v>
      </c>
      <c r="F26" s="964">
        <f>0.075*D26</f>
        <v>95.85</v>
      </c>
      <c r="G26" s="964">
        <f>44.88*D26</f>
        <v>57356.640000000007</v>
      </c>
      <c r="H26" s="951">
        <v>16.059999999999999</v>
      </c>
      <c r="I26" s="955">
        <v>24.09</v>
      </c>
      <c r="J26" s="952">
        <v>0</v>
      </c>
      <c r="K26" s="952">
        <v>0</v>
      </c>
      <c r="L26" s="951">
        <v>32.85</v>
      </c>
      <c r="M26" s="919">
        <f>SUM(H26:I26)/SUM(H26:L26)</f>
        <v>0.54999999999999993</v>
      </c>
      <c r="N26" s="920">
        <f>SUM(J26:K26)/SUM(H26:L26)</f>
        <v>0</v>
      </c>
      <c r="O26" s="921">
        <f>L26/SUM(H26:L26)</f>
        <v>0.45</v>
      </c>
      <c r="P26" s="922">
        <f>E26*$M26</f>
        <v>47.797199999999997</v>
      </c>
      <c r="Q26" s="922">
        <f>F26*$M26</f>
        <v>52.717499999999994</v>
      </c>
      <c r="R26" s="923">
        <f>G26*$M26</f>
        <v>31546.151999999998</v>
      </c>
      <c r="S26" s="922">
        <f>E26*$N26</f>
        <v>0</v>
      </c>
      <c r="T26" s="922">
        <f t="shared" ref="T26" si="8">F26*$N26</f>
        <v>0</v>
      </c>
      <c r="U26" s="923">
        <f>G26*$N26</f>
        <v>0</v>
      </c>
      <c r="V26" s="922">
        <f>E26*$O26</f>
        <v>39.106800000000007</v>
      </c>
      <c r="W26" s="922">
        <f t="shared" ref="W26" si="9">F26*$O26</f>
        <v>43.1325</v>
      </c>
      <c r="X26" s="923">
        <f t="shared" ref="X26" si="10">G26*$O26</f>
        <v>25810.488000000005</v>
      </c>
      <c r="Y26" s="924">
        <f>S26-0.01408*20*J26+0.0018125*20*K26</f>
        <v>0</v>
      </c>
      <c r="Z26" s="924">
        <f>T26-0.042255*20*J26+0.02097*20*K26</f>
        <v>0</v>
      </c>
      <c r="AA26" s="925">
        <f>U26-6.67*J26*20+0.44*K26*20</f>
        <v>0</v>
      </c>
      <c r="AB26" s="926">
        <f>IF(S26-Y26&gt;0,S26-Y26,0)</f>
        <v>0</v>
      </c>
      <c r="AC26" s="926">
        <f>IF(T26-Z26&gt;0,T26-Z26,0)</f>
        <v>0</v>
      </c>
      <c r="AD26" s="927">
        <f>IF(U26-AA26&gt;0,U26-AA26,0)</f>
        <v>0</v>
      </c>
      <c r="AE26" s="928">
        <f>P26+V26+AB26</f>
        <v>86.903999999999996</v>
      </c>
      <c r="AF26" s="928">
        <f>Q26+W26+AC26</f>
        <v>95.85</v>
      </c>
      <c r="AG26" s="928">
        <f>R26+X26+AD26</f>
        <v>57356.639999999999</v>
      </c>
      <c r="AH26" s="929"/>
      <c r="AI26" s="929"/>
      <c r="AJ26" s="929"/>
      <c r="AL26" s="930"/>
    </row>
    <row r="31" spans="1:38" x14ac:dyDescent="0.25">
      <c r="G31" s="17"/>
      <c r="H31" s="17"/>
      <c r="I31" s="17"/>
    </row>
    <row r="32" spans="1:38" x14ac:dyDescent="0.25">
      <c r="G32" s="17"/>
      <c r="H32" s="17"/>
      <c r="I32" s="17"/>
    </row>
  </sheetData>
  <mergeCells count="16">
    <mergeCell ref="AB3:AD3"/>
    <mergeCell ref="AE3:AG3"/>
    <mergeCell ref="P4:R4"/>
    <mergeCell ref="S4:U4"/>
    <mergeCell ref="V4:X4"/>
    <mergeCell ref="Y3:AA3"/>
    <mergeCell ref="E6:G6"/>
    <mergeCell ref="H6:O6"/>
    <mergeCell ref="P6:X6"/>
    <mergeCell ref="Y6:AD6"/>
    <mergeCell ref="AE6:AG6"/>
    <mergeCell ref="E3:G3"/>
    <mergeCell ref="H3:I3"/>
    <mergeCell ref="J3:K3"/>
    <mergeCell ref="M3:O3"/>
    <mergeCell ref="P3:X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945"/>
  <sheetViews>
    <sheetView workbookViewId="0">
      <selection activeCell="E17" sqref="E17"/>
    </sheetView>
  </sheetViews>
  <sheetFormatPr defaultColWidth="9.140625" defaultRowHeight="15" x14ac:dyDescent="0.25"/>
  <cols>
    <col min="1" max="1" width="38.7109375" style="70" customWidth="1"/>
    <col min="2" max="3" width="14.28515625" style="529" customWidth="1"/>
    <col min="4" max="4" width="14.85546875" style="529" customWidth="1"/>
    <col min="5" max="5" width="10.5703125" style="529" customWidth="1"/>
    <col min="6" max="6" width="14.85546875" style="691" bestFit="1" customWidth="1"/>
    <col min="7" max="7" width="19.28515625" style="70" bestFit="1" customWidth="1"/>
    <col min="8" max="8" width="12.7109375" style="679" customWidth="1"/>
    <col min="9" max="9" width="22.7109375" style="679" customWidth="1"/>
    <col min="10" max="10" width="23.85546875" style="70" customWidth="1"/>
    <col min="11" max="11" width="25.28515625" style="70" customWidth="1"/>
    <col min="12" max="12" width="5.140625" style="70" customWidth="1"/>
    <col min="13" max="13" width="10.140625" style="70" customWidth="1"/>
    <col min="14" max="14" width="11.7109375" style="70" customWidth="1"/>
    <col min="15" max="16" width="10.140625" style="70" customWidth="1"/>
    <col min="17" max="17" width="11.7109375" style="70" customWidth="1"/>
    <col min="18" max="20" width="7.28515625" style="70" customWidth="1"/>
    <col min="21" max="21" width="6.140625" style="70" customWidth="1"/>
    <col min="22" max="23" width="11.42578125" style="70" customWidth="1"/>
    <col min="24" max="24" width="10" style="70" customWidth="1"/>
    <col min="25" max="25" width="11.28515625" style="70" customWidth="1"/>
    <col min="26" max="26" width="9.28515625" style="70" customWidth="1"/>
    <col min="27" max="27" width="10.7109375" style="721" customWidth="1"/>
    <col min="28" max="28" width="9.85546875" style="70" customWidth="1"/>
    <col min="29" max="29" width="11" style="70" customWidth="1"/>
    <col min="30" max="30" width="10" style="70" customWidth="1"/>
    <col min="31" max="33" width="10.28515625" style="70" customWidth="1"/>
    <col min="34" max="34" width="10" style="70" customWidth="1"/>
    <col min="35" max="37" width="10.7109375" style="70" customWidth="1"/>
    <col min="38" max="38" width="11.140625" style="70" customWidth="1"/>
    <col min="39" max="39" width="12.42578125" style="70" customWidth="1"/>
    <col min="40" max="40" width="10.5703125" style="721" customWidth="1"/>
    <col min="41" max="41" width="12" style="70" customWidth="1"/>
    <col min="42" max="43" width="12.42578125" style="70" customWidth="1"/>
    <col min="44" max="44" width="9.140625" style="70" customWidth="1"/>
    <col min="45" max="45" width="15.7109375" style="70" customWidth="1"/>
    <col min="46" max="16384" width="9.140625" style="70"/>
  </cols>
  <sheetData>
    <row r="1" spans="1:45" ht="18.75" x14ac:dyDescent="0.25">
      <c r="A1" s="678" t="s">
        <v>209</v>
      </c>
      <c r="B1" s="690"/>
      <c r="C1" s="690"/>
      <c r="D1" s="690"/>
      <c r="AA1" s="70"/>
      <c r="AN1" s="70"/>
    </row>
    <row r="2" spans="1:45" x14ac:dyDescent="0.25">
      <c r="A2" s="70" t="s">
        <v>623</v>
      </c>
      <c r="AA2" s="70"/>
      <c r="AN2" s="70"/>
    </row>
    <row r="3" spans="1:45" x14ac:dyDescent="0.25">
      <c r="A3" s="70" t="s">
        <v>41</v>
      </c>
      <c r="H3" s="70"/>
      <c r="I3" s="70"/>
      <c r="AA3" s="70"/>
      <c r="AN3" s="70"/>
    </row>
    <row r="4" spans="1:45" x14ac:dyDescent="0.25">
      <c r="A4" s="70" t="s">
        <v>624</v>
      </c>
      <c r="H4" s="70"/>
      <c r="I4" s="70"/>
      <c r="V4" s="677"/>
      <c r="W4" s="677"/>
      <c r="X4" s="677"/>
      <c r="Y4" s="677"/>
      <c r="AA4" s="70"/>
      <c r="AN4" s="70"/>
    </row>
    <row r="5" spans="1:45" x14ac:dyDescent="0.25">
      <c r="A5" s="1020" t="s">
        <v>215</v>
      </c>
      <c r="B5" s="510"/>
      <c r="C5" s="510"/>
      <c r="D5" s="510"/>
      <c r="V5" s="677"/>
      <c r="W5" s="677"/>
      <c r="X5" s="677"/>
      <c r="Y5" s="677"/>
      <c r="AA5" s="70"/>
      <c r="AN5" s="70"/>
    </row>
    <row r="6" spans="1:45" hidden="1" x14ac:dyDescent="0.25">
      <c r="E6" s="510"/>
      <c r="F6" s="692"/>
      <c r="V6" s="71"/>
      <c r="W6" s="71"/>
      <c r="X6" s="71"/>
      <c r="Y6" s="71"/>
      <c r="AA6" s="70"/>
      <c r="AN6" s="70"/>
    </row>
    <row r="7" spans="1:45" ht="15" hidden="1" customHeight="1" x14ac:dyDescent="0.25">
      <c r="AA7" s="70"/>
      <c r="AN7" s="70"/>
    </row>
    <row r="8" spans="1:45" ht="30" customHeight="1" x14ac:dyDescent="0.25">
      <c r="A8" s="728"/>
      <c r="B8" s="729"/>
      <c r="C8" s="729"/>
      <c r="D8" s="729"/>
      <c r="E8" s="729"/>
      <c r="F8" s="730"/>
      <c r="G8" s="728"/>
      <c r="H8" s="731"/>
      <c r="I8" s="731"/>
      <c r="J8" s="728"/>
      <c r="K8" s="728"/>
      <c r="L8" s="728"/>
      <c r="M8" s="1216" t="s">
        <v>625</v>
      </c>
      <c r="N8" s="693"/>
      <c r="O8" s="732"/>
      <c r="P8" s="732"/>
      <c r="Q8" s="733"/>
      <c r="R8" s="1218"/>
      <c r="S8" s="1218"/>
      <c r="T8" s="1218"/>
      <c r="U8" s="680" t="s">
        <v>220</v>
      </c>
      <c r="V8" s="680"/>
      <c r="W8" s="680"/>
      <c r="X8" s="1151" t="s">
        <v>56</v>
      </c>
      <c r="Y8" s="1151"/>
      <c r="Z8" s="1151"/>
      <c r="AA8" s="1151"/>
      <c r="AB8" s="1151"/>
      <c r="AC8" s="1151"/>
      <c r="AD8" s="1151"/>
      <c r="AE8" s="1151"/>
      <c r="AF8" s="1151"/>
      <c r="AG8" s="1154" t="s">
        <v>54</v>
      </c>
      <c r="AH8" s="1154"/>
      <c r="AI8" s="1154"/>
      <c r="AJ8" s="1154"/>
      <c r="AK8" s="1154"/>
      <c r="AL8" s="1152" t="s">
        <v>221</v>
      </c>
      <c r="AM8" s="1152"/>
      <c r="AN8" s="1152"/>
      <c r="AO8" s="1152"/>
      <c r="AP8" s="1152"/>
      <c r="AQ8" s="1153" t="s">
        <v>222</v>
      </c>
      <c r="AR8" s="1153"/>
      <c r="AS8" s="1153"/>
    </row>
    <row r="9" spans="1:45" ht="25.15" customHeight="1" x14ac:dyDescent="0.25">
      <c r="A9" s="1212" t="s">
        <v>223</v>
      </c>
      <c r="B9" s="1050"/>
      <c r="C9" s="1050"/>
      <c r="D9" s="1050"/>
      <c r="E9" s="729"/>
      <c r="F9" s="730"/>
      <c r="G9" s="728"/>
      <c r="H9" s="731"/>
      <c r="I9" s="731"/>
      <c r="J9" s="728"/>
      <c r="K9" s="728"/>
      <c r="L9" s="728"/>
      <c r="M9" s="1216"/>
      <c r="N9" s="693"/>
      <c r="O9" s="732"/>
      <c r="P9" s="732"/>
      <c r="Q9" s="733"/>
      <c r="R9" s="1214" t="s">
        <v>228</v>
      </c>
      <c r="S9" s="1214" t="s">
        <v>229</v>
      </c>
      <c r="T9" s="1214" t="s">
        <v>230</v>
      </c>
      <c r="U9" s="1207" t="s">
        <v>232</v>
      </c>
      <c r="V9" s="1207" t="s">
        <v>233</v>
      </c>
      <c r="W9" s="1207" t="s">
        <v>235</v>
      </c>
      <c r="X9" s="1135" t="s">
        <v>236</v>
      </c>
      <c r="Y9" s="1135"/>
      <c r="Z9" s="1135" t="s">
        <v>626</v>
      </c>
      <c r="AA9" s="1135"/>
      <c r="AB9" s="1135" t="s">
        <v>238</v>
      </c>
      <c r="AC9" s="1135"/>
      <c r="AD9" s="1135" t="s">
        <v>239</v>
      </c>
      <c r="AE9" s="1135"/>
      <c r="AF9" s="307"/>
      <c r="AG9" s="1132" t="s">
        <v>238</v>
      </c>
      <c r="AH9" s="1132"/>
      <c r="AI9" s="1132" t="s">
        <v>239</v>
      </c>
      <c r="AJ9" s="1132"/>
      <c r="AK9" s="309"/>
      <c r="AL9" s="1155" t="s">
        <v>238</v>
      </c>
      <c r="AM9" s="1155"/>
      <c r="AN9" s="1155" t="s">
        <v>239</v>
      </c>
      <c r="AO9" s="1155"/>
      <c r="AP9" s="311"/>
      <c r="AQ9" s="1037"/>
      <c r="AR9" s="1037"/>
      <c r="AS9" s="1037"/>
    </row>
    <row r="10" spans="1:45" ht="50.25" customHeight="1" x14ac:dyDescent="0.25">
      <c r="A10" s="1213"/>
      <c r="B10" s="1051" t="s">
        <v>241</v>
      </c>
      <c r="C10" s="1051" t="s">
        <v>242</v>
      </c>
      <c r="D10" s="1051" t="s">
        <v>627</v>
      </c>
      <c r="E10" s="1051" t="s">
        <v>243</v>
      </c>
      <c r="F10" s="694" t="s">
        <v>628</v>
      </c>
      <c r="G10" s="1051" t="s">
        <v>25</v>
      </c>
      <c r="H10" s="1051" t="s">
        <v>244</v>
      </c>
      <c r="I10" s="1051" t="s">
        <v>245</v>
      </c>
      <c r="J10" s="1051" t="s">
        <v>246</v>
      </c>
      <c r="K10" s="1051" t="s">
        <v>247</v>
      </c>
      <c r="L10" s="695" t="s">
        <v>248</v>
      </c>
      <c r="M10" s="1217"/>
      <c r="N10" s="696" t="s">
        <v>217</v>
      </c>
      <c r="O10" s="696" t="s">
        <v>629</v>
      </c>
      <c r="P10" s="696" t="s">
        <v>630</v>
      </c>
      <c r="Q10" s="697" t="s">
        <v>631</v>
      </c>
      <c r="R10" s="1215"/>
      <c r="S10" s="1215"/>
      <c r="T10" s="1215"/>
      <c r="U10" s="1208"/>
      <c r="V10" s="1208"/>
      <c r="W10" s="1208"/>
      <c r="X10" s="734" t="s">
        <v>252</v>
      </c>
      <c r="Y10" s="734" t="s">
        <v>253</v>
      </c>
      <c r="Z10" s="734" t="s">
        <v>252</v>
      </c>
      <c r="AA10" s="734" t="s">
        <v>253</v>
      </c>
      <c r="AB10" s="734" t="s">
        <v>252</v>
      </c>
      <c r="AC10" s="734" t="s">
        <v>253</v>
      </c>
      <c r="AD10" s="734" t="s">
        <v>252</v>
      </c>
      <c r="AE10" s="734" t="s">
        <v>253</v>
      </c>
      <c r="AF10" s="735" t="s">
        <v>632</v>
      </c>
      <c r="AG10" s="736" t="s">
        <v>252</v>
      </c>
      <c r="AH10" s="736" t="s">
        <v>257</v>
      </c>
      <c r="AI10" s="736" t="s">
        <v>252</v>
      </c>
      <c r="AJ10" s="736" t="s">
        <v>257</v>
      </c>
      <c r="AK10" s="737" t="s">
        <v>254</v>
      </c>
      <c r="AL10" s="738" t="s">
        <v>252</v>
      </c>
      <c r="AM10" s="738" t="s">
        <v>259</v>
      </c>
      <c r="AN10" s="738" t="s">
        <v>252</v>
      </c>
      <c r="AO10" s="738" t="s">
        <v>259</v>
      </c>
      <c r="AP10" s="739" t="s">
        <v>254</v>
      </c>
      <c r="AQ10" s="698" t="s">
        <v>261</v>
      </c>
      <c r="AR10" s="698" t="s">
        <v>257</v>
      </c>
      <c r="AS10" s="698" t="s">
        <v>262</v>
      </c>
    </row>
    <row r="11" spans="1:45" x14ac:dyDescent="0.25">
      <c r="M11" s="679"/>
      <c r="N11" s="679"/>
      <c r="O11" s="679"/>
      <c r="P11" s="679"/>
      <c r="Q11" s="679"/>
      <c r="X11" s="681"/>
      <c r="AA11" s="70"/>
      <c r="AF11" s="681"/>
      <c r="AG11" s="681"/>
      <c r="AK11" s="681"/>
      <c r="AL11" s="681"/>
      <c r="AN11" s="70"/>
      <c r="AO11" s="682"/>
      <c r="AP11" s="683"/>
      <c r="AQ11" s="1209" t="s">
        <v>633</v>
      </c>
      <c r="AR11" s="1210"/>
      <c r="AS11" s="1211"/>
    </row>
    <row r="12" spans="1:45" x14ac:dyDescent="0.25">
      <c r="A12" s="699" t="s">
        <v>265</v>
      </c>
      <c r="B12" s="700"/>
      <c r="C12" s="700"/>
      <c r="D12" s="700"/>
      <c r="M12" s="679"/>
      <c r="N12" s="679"/>
      <c r="O12" s="679"/>
      <c r="P12" s="679"/>
      <c r="Q12" s="679"/>
      <c r="R12" s="684"/>
      <c r="S12" s="684"/>
      <c r="T12" s="684"/>
      <c r="U12" s="684"/>
      <c r="V12" s="684"/>
      <c r="W12" s="684"/>
      <c r="X12" s="685"/>
      <c r="Y12" s="686"/>
      <c r="Z12" s="684"/>
      <c r="AA12" s="684"/>
      <c r="AB12" s="684"/>
      <c r="AC12" s="684"/>
      <c r="AD12" s="684"/>
      <c r="AE12" s="684"/>
      <c r="AF12" s="685"/>
      <c r="AG12" s="685"/>
      <c r="AH12" s="684"/>
      <c r="AI12" s="684"/>
      <c r="AJ12" s="684"/>
      <c r="AK12" s="685"/>
      <c r="AL12" s="685"/>
      <c r="AM12" s="701"/>
      <c r="AN12" s="702"/>
      <c r="AO12" s="703"/>
      <c r="AP12" s="687"/>
      <c r="AQ12" s="788" t="s">
        <v>634</v>
      </c>
      <c r="AR12" s="1010" t="s">
        <v>620</v>
      </c>
      <c r="AS12" s="1011" t="s">
        <v>221</v>
      </c>
    </row>
    <row r="13" spans="1:45" ht="15.75" thickBot="1" x14ac:dyDescent="0.3">
      <c r="A13" s="699"/>
      <c r="B13" s="700"/>
      <c r="C13" s="700"/>
      <c r="D13" s="700"/>
      <c r="M13" s="679"/>
      <c r="N13" s="679"/>
      <c r="O13" s="679"/>
      <c r="P13" s="679"/>
      <c r="Q13" s="679"/>
      <c r="R13" s="684"/>
      <c r="S13" s="684"/>
      <c r="T13" s="684"/>
      <c r="U13" s="684"/>
      <c r="V13" s="684"/>
      <c r="W13" s="684"/>
      <c r="X13" s="685"/>
      <c r="Y13" s="686"/>
      <c r="Z13" s="684"/>
      <c r="AA13" s="684"/>
      <c r="AB13" s="684"/>
      <c r="AC13" s="684"/>
      <c r="AD13" s="684"/>
      <c r="AE13" s="684"/>
      <c r="AF13" s="685"/>
      <c r="AG13" s="685"/>
      <c r="AH13" s="684"/>
      <c r="AI13" s="684"/>
      <c r="AJ13" s="684"/>
      <c r="AK13" s="685"/>
      <c r="AL13" s="685"/>
      <c r="AM13" s="701"/>
      <c r="AN13" s="702"/>
      <c r="AO13" s="701"/>
      <c r="AP13" s="687"/>
      <c r="AQ13" s="795">
        <f>SUM(AQ14:AQ334)</f>
        <v>253.25498788856521</v>
      </c>
      <c r="AR13" s="796">
        <f>SUM(AR14:AR334)</f>
        <v>2601.3678599713094</v>
      </c>
      <c r="AS13" s="797">
        <f>SUM(AS14:AS334)</f>
        <v>228654.02180873335</v>
      </c>
    </row>
    <row r="14" spans="1:45" ht="14.45" customHeight="1" x14ac:dyDescent="0.25">
      <c r="A14" s="261"/>
      <c r="B14" s="510"/>
      <c r="C14" s="510"/>
      <c r="D14" s="510"/>
      <c r="E14" s="704"/>
      <c r="F14" s="705"/>
      <c r="G14" s="510"/>
      <c r="H14" s="511"/>
      <c r="I14" s="261"/>
      <c r="J14" s="511"/>
      <c r="K14" s="511"/>
      <c r="L14" s="510"/>
      <c r="M14" s="510"/>
      <c r="N14" s="672"/>
      <c r="O14" s="514"/>
      <c r="P14" s="514" t="s">
        <v>297</v>
      </c>
      <c r="Q14" s="688"/>
      <c r="R14" s="674"/>
      <c r="S14" s="674"/>
      <c r="T14" s="674"/>
      <c r="U14" s="1022"/>
      <c r="V14" s="514"/>
      <c r="W14" s="675"/>
      <c r="X14" s="516"/>
      <c r="Y14" s="706"/>
      <c r="Z14" s="640"/>
      <c r="AA14" s="1022"/>
      <c r="AB14" s="637"/>
      <c r="AC14" s="637"/>
      <c r="AD14" s="637"/>
      <c r="AE14" s="139"/>
      <c r="AF14" s="642"/>
      <c r="AG14" s="583"/>
      <c r="AH14" s="139"/>
      <c r="AI14" s="637"/>
      <c r="AJ14" s="139"/>
      <c r="AK14" s="416"/>
      <c r="AL14" s="642"/>
      <c r="AM14" s="637"/>
      <c r="AN14" s="637"/>
      <c r="AO14" s="139"/>
      <c r="AP14" s="647"/>
      <c r="AQ14" s="1010"/>
      <c r="AR14" s="1010"/>
      <c r="AS14" s="1011"/>
    </row>
    <row r="15" spans="1:45" ht="14.45" customHeight="1" x14ac:dyDescent="0.25">
      <c r="A15" s="261"/>
      <c r="B15" s="510"/>
      <c r="C15" s="510"/>
      <c r="D15" s="510"/>
      <c r="E15" s="704"/>
      <c r="F15" s="669"/>
      <c r="G15" s="510"/>
      <c r="H15" s="511"/>
      <c r="I15" s="261"/>
      <c r="J15" s="511"/>
      <c r="K15" s="511"/>
      <c r="L15" s="510"/>
      <c r="M15" s="510"/>
      <c r="N15" s="672"/>
      <c r="O15" s="514"/>
      <c r="P15" s="514" t="s">
        <v>297</v>
      </c>
      <c r="Q15" s="688"/>
      <c r="R15" s="674"/>
      <c r="S15" s="674"/>
      <c r="T15" s="674"/>
      <c r="U15" s="1022"/>
      <c r="V15" s="514"/>
      <c r="W15" s="675"/>
      <c r="X15" s="516"/>
      <c r="Y15" s="706"/>
      <c r="Z15" s="640"/>
      <c r="AA15" s="1022"/>
      <c r="AB15" s="637"/>
      <c r="AC15" s="637"/>
      <c r="AD15" s="637"/>
      <c r="AE15" s="139"/>
      <c r="AF15" s="642"/>
      <c r="AG15" s="583"/>
      <c r="AH15" s="139"/>
      <c r="AI15" s="637"/>
      <c r="AJ15" s="139"/>
      <c r="AK15" s="416"/>
      <c r="AL15" s="642"/>
      <c r="AM15" s="637"/>
      <c r="AN15" s="637"/>
      <c r="AO15" s="139"/>
      <c r="AP15" s="647"/>
      <c r="AQ15" s="1010"/>
      <c r="AR15" s="1010"/>
      <c r="AS15" s="1011"/>
    </row>
    <row r="16" spans="1:45" ht="30" x14ac:dyDescent="0.25">
      <c r="A16" s="261" t="s">
        <v>635</v>
      </c>
      <c r="B16" s="510">
        <v>38.069046</v>
      </c>
      <c r="C16" s="510">
        <v>-78.50104300000001</v>
      </c>
      <c r="D16" s="510" t="s">
        <v>296</v>
      </c>
      <c r="E16" s="707" t="s">
        <v>636</v>
      </c>
      <c r="F16" s="669">
        <v>39870</v>
      </c>
      <c r="G16" s="510" t="s">
        <v>289</v>
      </c>
      <c r="H16" s="511" t="s">
        <v>637</v>
      </c>
      <c r="I16" s="511" t="str">
        <f>IF(G16="","",IF(G16="Proprietary","Filterra","Clearinghouse Not Used"))</f>
        <v>Filterra</v>
      </c>
      <c r="J16" s="511"/>
      <c r="K16" s="511"/>
      <c r="L16" s="708"/>
      <c r="M16" s="514">
        <f>N16+O16+P16</f>
        <v>0.28832079985488002</v>
      </c>
      <c r="N16" s="672">
        <v>0.279074252395</v>
      </c>
      <c r="O16" s="514">
        <v>9.2465474598799995E-3</v>
      </c>
      <c r="P16" s="514">
        <v>0</v>
      </c>
      <c r="Q16" s="673">
        <f>+N16/M16</f>
        <v>0.96792965521553054</v>
      </c>
      <c r="R16" s="674">
        <f>IF(L15="TT",(1.76*N16+0.5*O16+0.13*P16)-AF15,1.76*N16+0.5*O16+0.13*P16)</f>
        <v>0.49579395794513997</v>
      </c>
      <c r="S16" s="674">
        <f>IF(L15="TT",(M16*9.39+N16*6.99+O16*2.36)-AK15,M16*9.39+N16*6.99+O16*2.36)</f>
        <v>4.679883186883691</v>
      </c>
      <c r="T16" s="674">
        <f>IF(L15="TT",(M16*676.94+N16*101.08+O16*77.38)-AP15,M16*676.94+N16*101.08+O16*77.38)</f>
        <v>224.10020552829459</v>
      </c>
      <c r="U16" s="1022" t="s">
        <v>278</v>
      </c>
      <c r="V16" s="514">
        <f>35.4+47.2</f>
        <v>82.6</v>
      </c>
      <c r="W16" s="675">
        <f>IF(V16="NA", 0, (V16)*12/N16/43560)</f>
        <v>8.1536797971717159E-2</v>
      </c>
      <c r="X16" s="636">
        <f>IF(W16="","",IF(I16="Filterra",0.5,IF(I16="Stormfilter",0.45,"NA")))</f>
        <v>0.5</v>
      </c>
      <c r="Y16" s="706">
        <f>IF(X16="NA",0,R16*X16)</f>
        <v>0.24789697897256999</v>
      </c>
      <c r="Z16" s="635">
        <f>IF(ISNA(VLOOKUP(J16,'Efficiency Lookup'!$B$2:$C$38,2,FALSE)),0,(VLOOKUP(J16,'Efficiency Lookup'!$B$2:$C$38,2,FALSE)))</f>
        <v>0</v>
      </c>
      <c r="AA16" s="139">
        <f>R16*Z16</f>
        <v>0</v>
      </c>
      <c r="AB16" s="635">
        <f>IF(ISNA(VLOOKUP(K16,'Efficiency Lookup'!$D$2:$E$35,2,FALSE)),0,VLOOKUP(K16,'Efficiency Lookup'!$D$2:$E$35,2,FALSE))</f>
        <v>0</v>
      </c>
      <c r="AC16" s="139">
        <f>R16*AB16</f>
        <v>0</v>
      </c>
      <c r="AD16" s="637">
        <f>IF(U16="RR",IF((0.0304*(W16^5)-0.2619*(W16^4)+0.9161*(W16^3)-1.6837*(W16^2)+1.7072*W16-0.0091)&gt;0.85,0.85,IF((0.0304*(W16^5)-0.2619*(W16^4)+0.9161*(W16^3)-1.6837*(W16^2)+1.7072*W16-0.0091)&lt;0,0,(0.0304*(W16^5)-0.2619*(W16^4)+0.9161*(W16^3)-1.6837*(W16^2)+1.7072*W16-0.0091))),IF((0.0239*(W16^5)-0.2058*(W16^4)+0.7198*(W16^3)-1.3229*(W16^2)+1.3414*W16-0.0072)&gt;0.65,0.65,IF((0.0239*(W16^5)-0.2058*(W16^4)+0.7198*(W16^3)-1.3229*(W16^2)+1.3414*W16-0.0072)&lt;0,0,(0.0239*(W16^5)-0.2058*(W16^4)+0.7198*(W16^3)-1.3229*(W16^2)+1.3414*W16-0.0072))))</f>
        <v>9.3759668572788307E-2</v>
      </c>
      <c r="AE16" s="139">
        <f>R16*AD16</f>
        <v>4.6485477177327268E-2</v>
      </c>
      <c r="AF16" s="516">
        <f>MAX(Y16,AA16,AC16,AE16)</f>
        <v>0.24789697897256999</v>
      </c>
      <c r="AG16" s="634">
        <f>IF(ISNA(VLOOKUP(K16,'Efficiency Lookup'!$D$2:$G$35,3,FALSE)),0,VLOOKUP(K16,'Efficiency Lookup'!$D$2:$G$35,3,FALSE))</f>
        <v>0</v>
      </c>
      <c r="AH16" s="139">
        <f>S16*AG16</f>
        <v>0</v>
      </c>
      <c r="AI16" s="649">
        <f>IF(U16="RR",IF((0.0308*(W16^5)-0.2562*(W16^4)+0.8634*(W16^3)-1.5285*(W16^2)+1.501*W16-0.013)&gt;0.7,0.7,IF((0.0308*(W16^5)-0.2562*(W16^4)+0.8634*(W16^3)-1.5285*(W16^2)+1.501*W16-0.013)&lt;0,0,(0.0308*(W16^5)-0.2562*(W16^4)+0.8634*(W16^3)-1.5285*(W16^2)+1.501*W16-0.013))),IF((0.0152*(W16^5)-0.131*(W16^4)+0.4581*(W16^3)-0.8418*(W16^2)+0.8536*W16-0.0046)&gt;0.65,0.65,IF((0.0152*(W16^5)-0.131*(W16^4)+0.4581*(W16^3)-0.8418*(W16^2)+0.8536*W16-0.0046)&lt;0,0,(0.0152*(W16^5)-0.131*(W16^4)+0.4581*(W16^3)-0.8418*(W16^2)+0.8536*W16-0.0046))))</f>
        <v>5.9645904524822387E-2</v>
      </c>
      <c r="AJ16" s="1022">
        <f>S16*AI16</f>
        <v>0.27913586575218613</v>
      </c>
      <c r="AK16" s="416">
        <f>IF(AJ16="","",IF(OR(AF16=Y16,AF16=AA16),MAX(AH16,AJ16),IF(AF16=AC16,AH16,IF(AF16=AE16,AJ16))))</f>
        <v>0.27913586575218613</v>
      </c>
      <c r="AL16" s="634">
        <f>IF(ISNA(VLOOKUP(K16,'Efficiency Lookup'!$D$2:$G$35,4,FALSE)),0,VLOOKUP(K16,'Efficiency Lookup'!$D$2:$G$35,4,FALSE))</f>
        <v>0</v>
      </c>
      <c r="AM16" s="139">
        <f>T16*AL16</f>
        <v>0</v>
      </c>
      <c r="AN16" s="521">
        <f>IF(U16="RR",IF((0.0326*(W16^5)-0.2806*(W16^4)+0.9816*(W16^3)-1.8039*(W16^2)+1.8292*W16-0.0098)&gt;0.85,0.85,IF((0.0326*(W16^5)-0.2806*(W16^4)+0.9816*(W16^3)-1.8039*(W16^2)+1.8292*W16-0.0098)&lt;0,0,(0.0326*(W16^5)-0.2806*(W16^4)+0.9816*(W16^3)-1.8039*(W16^2)+1.8292*W16-0.0098))),IF((0.0304*(W16^5)-0.2619*(W16^4)+0.9161*(W16^3)-1.6837*(W16^2)+1.7072*W16-0.0091)&gt;0.8,0.8,IF((0.0304*(W16^5)-0.2619*(W16^4)+0.9161*(W16^3)-1.6837*(W16^2)+1.7072*W16-0.0091)&lt;0,0,(0.0304*(W16^5)-0.2619*(W16^4)+0.9161*(W16^3)-1.6837*(W16^2)+1.7072*W16-0.0091))))</f>
        <v>0.11939109443692747</v>
      </c>
      <c r="AO16" s="1005">
        <f>T16*AN16</f>
        <v>26.755568801563474</v>
      </c>
      <c r="AP16" s="647">
        <f>IF(AK16=AH16,AM16,AO16)</f>
        <v>26.755568801563474</v>
      </c>
      <c r="AQ16" s="789">
        <f>IF(AF16&lt;0,0,AF16)</f>
        <v>0.24789697897256999</v>
      </c>
      <c r="AR16" s="789">
        <f>IF(AK16&lt;0,0,AK16)</f>
        <v>0.27913586575218613</v>
      </c>
      <c r="AS16" s="790">
        <f>IF(AP16&lt;0,0,AP16)</f>
        <v>26.755568801563474</v>
      </c>
    </row>
    <row r="17" spans="1:45" ht="30" x14ac:dyDescent="0.25">
      <c r="A17" s="261" t="s">
        <v>635</v>
      </c>
      <c r="B17" s="510">
        <v>38.069074000000001</v>
      </c>
      <c r="C17" s="510">
        <v>-78.501146000000006</v>
      </c>
      <c r="D17" s="510" t="s">
        <v>296</v>
      </c>
      <c r="E17" s="709">
        <v>331.03</v>
      </c>
      <c r="F17" s="669">
        <v>39870</v>
      </c>
      <c r="G17" s="510" t="s">
        <v>281</v>
      </c>
      <c r="H17" s="511"/>
      <c r="I17" s="511"/>
      <c r="J17" s="511" t="s">
        <v>343</v>
      </c>
      <c r="K17" s="511" t="s">
        <v>315</v>
      </c>
      <c r="L17" s="261" t="s">
        <v>292</v>
      </c>
      <c r="M17" s="514">
        <f>N17+O17+P17</f>
        <v>0.17917824313390002</v>
      </c>
      <c r="N17" s="672">
        <v>9.3407270471000003E-2</v>
      </c>
      <c r="O17" s="514">
        <v>8.57709726629E-2</v>
      </c>
      <c r="P17" s="514">
        <v>0</v>
      </c>
      <c r="Q17" s="673">
        <f>+N17/M17</f>
        <v>0.52130922168489335</v>
      </c>
      <c r="R17" s="674">
        <f>IF(L16="TT",(1.76*N17+0.5*O17+0.13*P17)-AF16,1.76*N17+0.5*O17+0.13*P17)</f>
        <v>0.20728228236041002</v>
      </c>
      <c r="S17" s="674">
        <f>IF(L16="TT",(M17*9.39+N17*6.99+O17*2.36)-AK16,M17*9.39+N17*6.99+O17*2.36)</f>
        <v>2.5378200191040552</v>
      </c>
      <c r="T17" s="674">
        <f>IF(L16="TT",(M17*676.94+N17*101.08+O17*77.38)-AP16,M17*676.94+N17*101.08+O17*77.38)</f>
        <v>137.37148467092618</v>
      </c>
      <c r="U17" s="1022" t="s">
        <v>285</v>
      </c>
      <c r="V17" s="514"/>
      <c r="W17" s="675">
        <f>IF(V17="NA", 0, (V17)*12/N17/43560)</f>
        <v>0</v>
      </c>
      <c r="X17" s="634" t="str">
        <f t="shared" ref="X17:X80" si="0">IF(W17="","",IF(I17="Filterra",0.5,IF(I17="Stormfilter",0.45,"NA")))</f>
        <v>NA</v>
      </c>
      <c r="Y17" s="676">
        <f>IF(X17="NA",0,R17*X17)</f>
        <v>0</v>
      </c>
      <c r="Z17" s="1061">
        <f>IF(ISNA(VLOOKUP(J17,'Efficiency Lookup'!$B$2:$C$38,2,FALSE)),0,(VLOOKUP(J17,'Efficiency Lookup'!$B$2:$C$38,2,FALSE)))</f>
        <v>0.5</v>
      </c>
      <c r="AA17" s="1022">
        <f>R17*Z17</f>
        <v>0.10364114118020501</v>
      </c>
      <c r="AB17" s="635">
        <f>IF(ISNA(VLOOKUP(K17,'Efficiency Lookup'!$D$2:$E$35,2,FALSE)),0,VLOOKUP(K17,'Efficiency Lookup'!$D$2:$E$35,2,FALSE))</f>
        <v>0.75</v>
      </c>
      <c r="AC17" s="139">
        <f>R17*AB17</f>
        <v>0.15546171177030751</v>
      </c>
      <c r="AD17" s="637">
        <f>IF(U17="RR",IF((0.0304*(W17^5)-0.2619*(W17^4)+0.9161*(W17^3)-1.6837*(W17^2)+1.7072*W17-0.0091)&gt;0.85,0.85,IF((0.0304*(W17^5)-0.2619*(W17^4)+0.9161*(W17^3)-1.6837*(W17^2)+1.7072*W17-0.0091)&lt;0,0,(0.0304*(W17^5)-0.2619*(W17^4)+0.9161*(W17^3)-1.6837*(W17^2)+1.7072*W17-0.0091))),IF((0.0239*(W17^5)-0.2058*(W17^4)+0.7198*(W17^3)-1.3229*(W17^2)+1.3414*W17-0.0072)&gt;0.65,0.65,IF((0.0239*(W17^5)-0.2058*(W17^4)+0.7198*(W17^3)-1.3229*(W17^2)+1.3414*W17-0.0072)&lt;0,0,(0.0239*(W17^5)-0.2058*(W17^4)+0.7198*(W17^3)-1.3229*(W17^2)+1.3414*W17-0.0072))))</f>
        <v>0</v>
      </c>
      <c r="AE17" s="139">
        <f>R17*AD17</f>
        <v>0</v>
      </c>
      <c r="AF17" s="516">
        <f>MAX(Y17,AA17,AC17,AE17)</f>
        <v>0.15546171177030751</v>
      </c>
      <c r="AG17" s="636">
        <f>IF(ISNA(VLOOKUP(K17,'Efficiency Lookup'!$D$2:$G$35,3,FALSE)),0,VLOOKUP(K17,'Efficiency Lookup'!$D$2:$G$35,3,FALSE))</f>
        <v>0.7</v>
      </c>
      <c r="AH17" s="1022">
        <f>S17*AG17</f>
        <v>1.7764740133728385</v>
      </c>
      <c r="AI17" s="637">
        <f>IF(U17="RR",IF((0.0308*(W17^5)-0.2562*(W17^4)+0.8634*(W17^3)-1.5285*(W17^2)+1.501*W17-0.013)&gt;0.7,0.7,IF((0.0308*(W17^5)-0.2562*(W17^4)+0.8634*(W17^3)-1.5285*(W17^2)+1.501*W17-0.013)&lt;0,0,(0.0308*(W17^5)-0.2562*(W17^4)+0.8634*(W17^3)-1.5285*(W17^2)+1.501*W17-0.013))),IF((0.0152*(W17^5)-0.131*(W17^4)+0.4581*(W17^3)-0.8418*(W17^2)+0.8536*W17-0.0046)&gt;0.65,0.65,IF((0.0152*(W17^5)-0.131*(W17^4)+0.4581*(W17^3)-0.8418*(W17^2)+0.8536*W17-0.0046)&lt;0,0,(0.0152*(W17^5)-0.131*(W17^4)+0.4581*(W17^3)-0.8418*(W17^2)+0.8536*W17-0.0046))))</f>
        <v>0</v>
      </c>
      <c r="AJ17" s="139">
        <f>S17*AI17</f>
        <v>0</v>
      </c>
      <c r="AK17" s="416">
        <f t="shared" ref="AK17:AK80" si="1">IF(AJ17="","",IF(OR(AF17=Y17,AF17=AA17),MAX(AH17,AJ17),IF(AF17=AC17,AH17,IF(AF17=AE17,AJ17))))</f>
        <v>1.7764740133728385</v>
      </c>
      <c r="AL17" s="636">
        <f>IF(ISNA(VLOOKUP(K17,'Efficiency Lookup'!$D$2:$G$35,4,FALSE)),0,VLOOKUP(K17,'Efficiency Lookup'!$D$2:$G$35,4,FALSE))</f>
        <v>0.8</v>
      </c>
      <c r="AM17" s="1022">
        <f>T17*AL17</f>
        <v>109.89718773674095</v>
      </c>
      <c r="AN17" s="637">
        <f>IF(U17="RR",IF((0.0326*(W17^5)-0.2806*(W17^4)+0.9816*(W17^3)-1.8039*(W17^2)+1.8292*W17-0.0098)&gt;0.85,0.85,IF((0.0326*(W17^5)-0.2806*(W17^4)+0.9816*(W17^3)-1.8039*(W17^2)+1.8292*W17-0.0098)&lt;0,0,(0.0326*(W17^5)-0.2806*(W17^4)+0.9816*(W17^3)-1.8039*(W17^2)+1.8292*W17-0.0098))),IF((0.0304*(W17^5)-0.2619*(W17^4)+0.9161*(W17^3)-1.6837*(W17^2)+1.7072*W17-0.0091)&gt;0.8,0.8,IF((0.0304*(W17^5)-0.2619*(W17^4)+0.9161*(W17^3)-1.6837*(W17^2)+1.7072*W17-0.0091)&lt;0,0,(0.0304*(W17^5)-0.2619*(W17^4)+0.9161*(W17^3)-1.6837*(W17^2)+1.7072*W17-0.0091))))</f>
        <v>0</v>
      </c>
      <c r="AO17" s="1005">
        <f>T17*AN17</f>
        <v>0</v>
      </c>
      <c r="AP17" s="647">
        <f>IF(AK17=AH17,AM17,AO17)</f>
        <v>109.89718773674095</v>
      </c>
      <c r="AQ17" s="789">
        <f>IF(AF17&lt;0,0,AF17)</f>
        <v>0.15546171177030751</v>
      </c>
      <c r="AR17" s="789">
        <f>IF(AK17&lt;0,0,AK17)</f>
        <v>1.7764740133728385</v>
      </c>
      <c r="AS17" s="790">
        <f>IF(AP17&lt;0,0,AP17)</f>
        <v>109.89718773674095</v>
      </c>
    </row>
    <row r="18" spans="1:45" ht="30" x14ac:dyDescent="0.25">
      <c r="A18" s="261" t="s">
        <v>635</v>
      </c>
      <c r="B18" s="510">
        <v>38.068967999999998</v>
      </c>
      <c r="C18" s="510">
        <v>-78.500932000000006</v>
      </c>
      <c r="D18" s="510" t="s">
        <v>296</v>
      </c>
      <c r="E18" s="511">
        <v>331.04</v>
      </c>
      <c r="F18" s="669">
        <v>39870</v>
      </c>
      <c r="G18" s="510" t="s">
        <v>293</v>
      </c>
      <c r="H18" s="511" t="s">
        <v>294</v>
      </c>
      <c r="I18" s="511"/>
      <c r="J18" s="510"/>
      <c r="K18" s="510"/>
      <c r="L18" s="261"/>
      <c r="M18" s="514">
        <f>N18+O18+P18</f>
        <v>0.32333904298878002</v>
      </c>
      <c r="N18" s="672">
        <v>0.23294452286600001</v>
      </c>
      <c r="O18" s="514">
        <v>9.039452012278E-2</v>
      </c>
      <c r="P18" s="514">
        <v>0</v>
      </c>
      <c r="Q18" s="673">
        <f>+N18/M18</f>
        <v>0.72043425598338051</v>
      </c>
      <c r="R18" s="674">
        <f>IF(L17="TT",(1.76*N18+0.5*O18+0.13*P18)-SUM(AF15:AF17),1.76*N18+0.5*O18+0.13*P18)</f>
        <v>5.1820929562672535E-2</v>
      </c>
      <c r="S18" s="674">
        <f>IF(L17="TT",(M18*9.39+N18*6.99+O18*2.36)-SUM(AK15:AK17),M18*9.39+N18*6.99+O18*2.36)</f>
        <v>2.8221570168627199</v>
      </c>
      <c r="T18" s="674">
        <f>IF(L17="TT",(M18*676.94+N18*101.08+O18*77.38)-SUM(AP15:AP17),M18*676.94+N18*101.08+O18*77.38)</f>
        <v>112.76913556091631</v>
      </c>
      <c r="U18" s="1022" t="s">
        <v>295</v>
      </c>
      <c r="V18" s="514" t="s">
        <v>295</v>
      </c>
      <c r="W18" s="675">
        <f>IF(V18="NA", 0, (V18)*12/N18/43560)</f>
        <v>0</v>
      </c>
      <c r="X18" s="634" t="str">
        <f t="shared" si="0"/>
        <v>NA</v>
      </c>
      <c r="Y18" s="676">
        <f>IF(X18="NA",0,R18*X18)</f>
        <v>0</v>
      </c>
      <c r="Z18" s="635">
        <f>IF(ISNA(VLOOKUP(J18,'Efficiency Lookup'!$B$2:$C$38,2,FALSE)),0,(VLOOKUP(J18,'Efficiency Lookup'!$B$2:$C$38,2,FALSE)))</f>
        <v>0</v>
      </c>
      <c r="AA18" s="139">
        <f>R18*Z18</f>
        <v>0</v>
      </c>
      <c r="AB18" s="635">
        <f>IF(ISNA(VLOOKUP(K18,'Efficiency Lookup'!$D$2:$E$35,2,FALSE)),0,VLOOKUP(K18,'Efficiency Lookup'!$D$2:$E$35,2,FALSE))</f>
        <v>0</v>
      </c>
      <c r="AC18" s="139">
        <f>R18*AB18</f>
        <v>0</v>
      </c>
      <c r="AD18" s="637">
        <f>IF(U18="RR",IF((0.0304*(W18^5)-0.2619*(W18^4)+0.9161*(W18^3)-1.6837*(W18^2)+1.7072*W18-0.0091)&gt;0.85,0.85,IF((0.0304*(W18^5)-0.2619*(W18^4)+0.9161*(W18^3)-1.6837*(W18^2)+1.7072*W18-0.0091)&lt;0,0,(0.0304*(W18^5)-0.2619*(W18^4)+0.9161*(W18^3)-1.6837*(W18^2)+1.7072*W18-0.0091))),IF((0.0239*(W18^5)-0.2058*(W18^4)+0.7198*(W18^3)-1.3229*(W18^2)+1.3414*W18-0.0072)&gt;0.65,0.65,IF((0.0239*(W18^5)-0.2058*(W18^4)+0.7198*(W18^3)-1.3229*(W18^2)+1.3414*W18-0.0072)&lt;0,0,(0.0239*(W18^5)-0.2058*(W18^4)+0.7198*(W18^3)-1.3229*(W18^2)+1.3414*W18-0.0072))))</f>
        <v>0</v>
      </c>
      <c r="AE18" s="139">
        <f>R18*AD18</f>
        <v>0</v>
      </c>
      <c r="AF18" s="516">
        <f>MAX(Y18,AA18,AC18,AE18)</f>
        <v>0</v>
      </c>
      <c r="AG18" s="634">
        <f>IF(ISNA(VLOOKUP(K18,'Efficiency Lookup'!$D$2:$G$35,3,FALSE)),0,VLOOKUP(K18,'Efficiency Lookup'!$D$2:$G$35,3,FALSE))</f>
        <v>0</v>
      </c>
      <c r="AH18" s="139">
        <f>S18*AG18</f>
        <v>0</v>
      </c>
      <c r="AI18" s="637">
        <f>IF(U18="RR",IF((0.0308*(W18^5)-0.2562*(W18^4)+0.8634*(W18^3)-1.5285*(W18^2)+1.501*W18-0.013)&gt;0.7,0.7,IF((0.0308*(W18^5)-0.2562*(W18^4)+0.8634*(W18^3)-1.5285*(W18^2)+1.501*W18-0.013)&lt;0,0,(0.0308*(W18^5)-0.2562*(W18^4)+0.8634*(W18^3)-1.5285*(W18^2)+1.501*W18-0.013))),IF((0.0152*(W18^5)-0.131*(W18^4)+0.4581*(W18^3)-0.8418*(W18^2)+0.8536*W18-0.0046)&gt;0.65,0.65,IF((0.0152*(W18^5)-0.131*(W18^4)+0.4581*(W18^3)-0.8418*(W18^2)+0.8536*W18-0.0046)&lt;0,0,(0.0152*(W18^5)-0.131*(W18^4)+0.4581*(W18^3)-0.8418*(W18^2)+0.8536*W18-0.0046))))</f>
        <v>0</v>
      </c>
      <c r="AJ18" s="139">
        <f>S18*AI18</f>
        <v>0</v>
      </c>
      <c r="AK18" s="416">
        <f t="shared" si="1"/>
        <v>0</v>
      </c>
      <c r="AL18" s="634">
        <f>IF(ISNA(VLOOKUP(K18,'Efficiency Lookup'!$D$2:$G$35,4,FALSE)),0,VLOOKUP(K18,'Efficiency Lookup'!$D$2:$G$35,4,FALSE))</f>
        <v>0</v>
      </c>
      <c r="AM18" s="139">
        <f>T18*AL18</f>
        <v>0</v>
      </c>
      <c r="AN18" s="637">
        <f>IF(U18="RR",IF((0.0326*(W18^5)-0.2806*(W18^4)+0.9816*(W18^3)-1.8039*(W18^2)+1.8292*W18-0.0098)&gt;0.85,0.85,IF((0.0326*(W18^5)-0.2806*(W18^4)+0.9816*(W18^3)-1.8039*(W18^2)+1.8292*W18-0.0098)&lt;0,0,(0.0326*(W18^5)-0.2806*(W18^4)+0.9816*(W18^3)-1.8039*(W18^2)+1.8292*W18-0.0098))),IF((0.0304*(W18^5)-0.2619*(W18^4)+0.9161*(W18^3)-1.6837*(W18^2)+1.7072*W18-0.0091)&gt;0.8,0.8,IF((0.0304*(W18^5)-0.2619*(W18^4)+0.9161*(W18^3)-1.6837*(W18^2)+1.7072*W18-0.0091)&lt;0,0,(0.0304*(W18^5)-0.2619*(W18^4)+0.9161*(W18^3)-1.6837*(W18^2)+1.7072*W18-0.0091))))</f>
        <v>0</v>
      </c>
      <c r="AO18" s="1005">
        <f>T18*AN18</f>
        <v>0</v>
      </c>
      <c r="AP18" s="647">
        <f>IF(AK18=AH18,AM18,AO18)</f>
        <v>0</v>
      </c>
      <c r="AQ18" s="789">
        <f>IF(AF18&lt;0,0,AF18)</f>
        <v>0</v>
      </c>
      <c r="AR18" s="789">
        <f>IF(AK18&lt;0,0,AK18)</f>
        <v>0</v>
      </c>
      <c r="AS18" s="790">
        <f>IF(AP18&lt;0,0,AP18)</f>
        <v>0</v>
      </c>
    </row>
    <row r="19" spans="1:45" x14ac:dyDescent="0.25">
      <c r="A19" s="261"/>
      <c r="B19" s="510" t="s">
        <v>297</v>
      </c>
      <c r="C19" s="510" t="s">
        <v>297</v>
      </c>
      <c r="D19" s="510" t="s">
        <v>297</v>
      </c>
      <c r="E19" s="511"/>
      <c r="F19" s="705"/>
      <c r="G19" s="510"/>
      <c r="H19" s="511"/>
      <c r="I19" s="261" t="str">
        <f t="shared" ref="I19:I80" si="2">IF(G19="","",IF(G19="Proprietary","Filterra","Clearinghouse Not Used"))</f>
        <v/>
      </c>
      <c r="J19" s="511"/>
      <c r="K19" s="511"/>
      <c r="L19" s="510"/>
      <c r="M19" s="510"/>
      <c r="N19" s="672"/>
      <c r="O19" s="514"/>
      <c r="P19" s="514" t="s">
        <v>297</v>
      </c>
      <c r="Q19" s="688"/>
      <c r="R19" s="674"/>
      <c r="S19" s="674"/>
      <c r="T19" s="674"/>
      <c r="U19" s="1022"/>
      <c r="V19" s="514"/>
      <c r="W19" s="675"/>
      <c r="X19" s="636" t="str">
        <f t="shared" si="0"/>
        <v/>
      </c>
      <c r="Y19" s="706"/>
      <c r="Z19" s="640"/>
      <c r="AA19" s="1022"/>
      <c r="AB19" s="637"/>
      <c r="AC19" s="637"/>
      <c r="AD19" s="637"/>
      <c r="AE19" s="139"/>
      <c r="AF19" s="642"/>
      <c r="AG19" s="583"/>
      <c r="AH19" s="139"/>
      <c r="AI19" s="637"/>
      <c r="AJ19" s="139"/>
      <c r="AK19" s="416" t="str">
        <f t="shared" si="1"/>
        <v/>
      </c>
      <c r="AL19" s="642"/>
      <c r="AM19" s="637"/>
      <c r="AN19" s="637"/>
      <c r="AO19" s="139"/>
      <c r="AP19" s="647"/>
      <c r="AQ19" s="789"/>
      <c r="AR19" s="789"/>
      <c r="AS19" s="790"/>
    </row>
    <row r="20" spans="1:45" x14ac:dyDescent="0.25">
      <c r="A20" s="628"/>
      <c r="B20" s="668" t="s">
        <v>297</v>
      </c>
      <c r="C20" s="668" t="s">
        <v>297</v>
      </c>
      <c r="D20" s="668" t="s">
        <v>297</v>
      </c>
      <c r="E20" s="710"/>
      <c r="F20" s="711"/>
      <c r="G20" s="668"/>
      <c r="H20" s="712"/>
      <c r="I20" s="712" t="str">
        <f t="shared" si="2"/>
        <v/>
      </c>
      <c r="J20" s="712"/>
      <c r="K20" s="712"/>
      <c r="L20" s="712"/>
      <c r="M20" s="712"/>
      <c r="N20" s="712"/>
      <c r="O20" s="712"/>
      <c r="P20" s="712"/>
      <c r="Q20" s="712"/>
      <c r="R20" s="712"/>
      <c r="S20" s="712"/>
      <c r="T20" s="712"/>
      <c r="U20" s="712"/>
      <c r="V20" s="712"/>
      <c r="W20" s="712"/>
      <c r="X20" s="760" t="str">
        <f t="shared" si="0"/>
        <v/>
      </c>
      <c r="Y20" s="713"/>
      <c r="Z20" s="712"/>
      <c r="AA20" s="712"/>
      <c r="AB20" s="638"/>
      <c r="AC20" s="638"/>
      <c r="AD20" s="638"/>
      <c r="AE20" s="629"/>
      <c r="AF20" s="666"/>
      <c r="AG20" s="666"/>
      <c r="AH20" s="629"/>
      <c r="AI20" s="638"/>
      <c r="AJ20" s="629"/>
      <c r="AK20" s="639" t="str">
        <f t="shared" si="1"/>
        <v/>
      </c>
      <c r="AL20" s="644"/>
      <c r="AM20" s="638"/>
      <c r="AN20" s="638"/>
      <c r="AO20" s="629"/>
      <c r="AP20" s="648"/>
      <c r="AQ20" s="791"/>
      <c r="AR20" s="791"/>
      <c r="AS20" s="792"/>
    </row>
    <row r="21" spans="1:45" ht="14.45" customHeight="1" x14ac:dyDescent="0.25">
      <c r="A21" s="261"/>
      <c r="B21" s="510" t="s">
        <v>297</v>
      </c>
      <c r="C21" s="510" t="s">
        <v>297</v>
      </c>
      <c r="D21" s="510" t="s">
        <v>297</v>
      </c>
      <c r="E21" s="704"/>
      <c r="F21" s="705"/>
      <c r="G21" s="510"/>
      <c r="H21" s="511"/>
      <c r="I21" s="261" t="str">
        <f t="shared" si="2"/>
        <v/>
      </c>
      <c r="J21" s="511"/>
      <c r="K21" s="511"/>
      <c r="L21" s="510"/>
      <c r="M21" s="510"/>
      <c r="N21" s="672"/>
      <c r="O21" s="514"/>
      <c r="P21" s="514" t="s">
        <v>297</v>
      </c>
      <c r="Q21" s="688"/>
      <c r="R21" s="674"/>
      <c r="S21" s="674"/>
      <c r="T21" s="674"/>
      <c r="U21" s="1022"/>
      <c r="V21" s="514"/>
      <c r="W21" s="675"/>
      <c r="X21" s="636" t="str">
        <f t="shared" si="0"/>
        <v/>
      </c>
      <c r="Y21" s="706"/>
      <c r="Z21" s="640"/>
      <c r="AA21" s="1022"/>
      <c r="AB21" s="637"/>
      <c r="AC21" s="637"/>
      <c r="AD21" s="637"/>
      <c r="AE21" s="139"/>
      <c r="AF21" s="642"/>
      <c r="AG21" s="583"/>
      <c r="AH21" s="139"/>
      <c r="AI21" s="637"/>
      <c r="AJ21" s="139"/>
      <c r="AK21" s="416" t="str">
        <f t="shared" si="1"/>
        <v/>
      </c>
      <c r="AL21" s="642"/>
      <c r="AM21" s="637"/>
      <c r="AN21" s="637"/>
      <c r="AO21" s="139"/>
      <c r="AP21" s="647"/>
      <c r="AQ21" s="789"/>
      <c r="AR21" s="789"/>
      <c r="AS21" s="790"/>
    </row>
    <row r="22" spans="1:45" ht="30" x14ac:dyDescent="0.25">
      <c r="A22" s="261" t="s">
        <v>638</v>
      </c>
      <c r="B22" s="510">
        <v>38.021957</v>
      </c>
      <c r="C22" s="510">
        <v>-78.462019999999995</v>
      </c>
      <c r="D22" s="510" t="s">
        <v>286</v>
      </c>
      <c r="E22" s="511">
        <v>295.01</v>
      </c>
      <c r="F22" s="669">
        <v>39308</v>
      </c>
      <c r="G22" s="510" t="s">
        <v>281</v>
      </c>
      <c r="H22" s="511"/>
      <c r="I22" s="511"/>
      <c r="J22" s="511" t="s">
        <v>343</v>
      </c>
      <c r="K22" s="511" t="s">
        <v>284</v>
      </c>
      <c r="L22" s="261"/>
      <c r="M22" s="514">
        <f>N22+O22+P22</f>
        <v>0.53051765135919504</v>
      </c>
      <c r="N22" s="672">
        <v>0.15927775322099999</v>
      </c>
      <c r="O22" s="514">
        <v>0.37123989813819502</v>
      </c>
      <c r="P22" s="514">
        <v>0</v>
      </c>
      <c r="Q22" s="673">
        <f>+N22/M22</f>
        <v>0.30023082702889853</v>
      </c>
      <c r="R22" s="674">
        <f>IF(L21="TT",(1.76*N22+0.5*O22+0.13*P22)-AF21,1.76*N22+0.5*O22+0.13*P22)</f>
        <v>0.4659487947380575</v>
      </c>
      <c r="S22" s="674">
        <f>IF(L21="TT",(M22*9.39+N22*6.99+O22*2.36)-AK21,M22*9.39+N22*6.99+O22*2.36)</f>
        <v>6.9710384008837716</v>
      </c>
      <c r="T22" s="674">
        <f>IF(L21="TT",(M22*676.94+N22*101.08+O22*77.38)-AP21,M22*676.94+N22*101.08+O22*77.38)</f>
        <v>403.95495752460573</v>
      </c>
      <c r="U22" s="1022" t="s">
        <v>285</v>
      </c>
      <c r="V22" s="514">
        <v>1426.76424</v>
      </c>
      <c r="W22" s="675">
        <f>IF(V22="NA", 0, (V22)*12/N22/43560)</f>
        <v>2.4676892538447639</v>
      </c>
      <c r="X22" s="634" t="str">
        <f t="shared" si="0"/>
        <v>NA</v>
      </c>
      <c r="Y22" s="676">
        <f>IF(X22="NA",0,R22*X22)</f>
        <v>0</v>
      </c>
      <c r="Z22" s="635">
        <f>IF(ISNA(VLOOKUP(J22,'Efficiency Lookup'!$B$2:$C$38,2,FALSE)),0,(VLOOKUP(J22,'Efficiency Lookup'!$B$2:$C$38,2,FALSE)))</f>
        <v>0.5</v>
      </c>
      <c r="AA22" s="139">
        <f>R22*Z22</f>
        <v>0.23297439736902875</v>
      </c>
      <c r="AB22" s="635">
        <f>IF(ISNA(VLOOKUP(K22,'Efficiency Lookup'!$D$2:$E$35,2,FALSE)),0,VLOOKUP(K22,'Efficiency Lookup'!$D$2:$E$35,2,FALSE))</f>
        <v>0.45</v>
      </c>
      <c r="AC22" s="139">
        <f>R22*AB22</f>
        <v>0.20967695763212588</v>
      </c>
      <c r="AD22" s="521">
        <f>IF(U22="RR",IF((0.0304*(W22^5)-0.2619*(W22^4)+0.9161*(W22^3)-1.6837*(W22^2)+1.7072*W22-0.0091)&gt;0.85,0.85,IF((0.0304*(W22^5)-0.2619*(W22^4)+0.9161*(W22^3)-1.6837*(W22^2)+1.7072*W22-0.0091)&lt;0,0,(0.0304*(W22^5)-0.2619*(W22^4)+0.9161*(W22^3)-1.6837*(W22^2)+1.7072*W22-0.0091))),IF((0.0239*(W22^5)-0.2058*(W22^4)+0.7198*(W22^3)-1.3229*(W22^2)+1.3414*W22-0.0072)&gt;0.65,0.65,IF((0.0239*(W22^5)-0.2058*(W22^4)+0.7198*(W22^3)-1.3229*(W22^2)+1.3414*W22-0.0072)&lt;0,0,(0.0239*(W22^5)-0.2058*(W22^4)+0.7198*(W22^3)-1.3229*(W22^2)+1.3414*W22-0.0072))))</f>
        <v>0.78712405610925817</v>
      </c>
      <c r="AE22" s="1022">
        <f>R22*AD22</f>
        <v>0.36675950525343998</v>
      </c>
      <c r="AF22" s="516">
        <f>MAX(Y22,AA22,AC22,AE22)</f>
        <v>0.36675950525343998</v>
      </c>
      <c r="AG22" s="634">
        <f>IF(ISNA(VLOOKUP(K22,'Efficiency Lookup'!$D$2:$G$35,3,FALSE)),0,VLOOKUP(K22,'Efficiency Lookup'!$D$2:$G$35,3,FALSE))</f>
        <v>0.25</v>
      </c>
      <c r="AH22" s="139">
        <f>S22*AG22</f>
        <v>1.7427596002209429</v>
      </c>
      <c r="AI22" s="649">
        <f>IF(U22="RR",IF((0.0308*(W22^5)-0.2562*(W22^4)+0.8634*(W22^3)-1.5285*(W22^2)+1.501*W22-0.013)&gt;0.7,0.7,IF((0.0308*(W22^5)-0.2562*(W22^4)+0.8634*(W22^3)-1.5285*(W22^2)+1.501*W22-0.013)&lt;0,0,(0.0308*(W22^5)-0.2562*(W22^4)+0.8634*(W22^3)-1.5285*(W22^2)+1.501*W22-0.013))),IF((0.0152*(W22^5)-0.131*(W22^4)+0.4581*(W22^3)-0.8418*(W22^2)+0.8536*W22-0.0046)&gt;0.65,0.65,IF((0.0152*(W22^5)-0.131*(W22^4)+0.4581*(W22^3)-0.8418*(W22^2)+0.8536*W22-0.0046)&lt;0,0,(0.0152*(W22^5)-0.131*(W22^4)+0.4581*(W22^3)-0.8418*(W22^2)+0.8536*W22-0.0046))))</f>
        <v>0.67552353416859379</v>
      </c>
      <c r="AJ22" s="1022">
        <f>S22*AI22</f>
        <v>4.7091004973899881</v>
      </c>
      <c r="AK22" s="416">
        <f t="shared" si="1"/>
        <v>4.7091004973899881</v>
      </c>
      <c r="AL22" s="634">
        <f>IF(ISNA(VLOOKUP(K22,'Efficiency Lookup'!$D$2:$G$35,4,FALSE)),0,VLOOKUP(K22,'Efficiency Lookup'!$D$2:$G$35,4,FALSE))</f>
        <v>0.55000000000000004</v>
      </c>
      <c r="AM22" s="139">
        <f>T22*AL22</f>
        <v>222.17522663853316</v>
      </c>
      <c r="AN22" s="521">
        <f>IF(U22="RR",IF((0.0326*(W22^5)-0.2806*(W22^4)+0.9816*(W22^3)-1.8039*(W22^2)+1.8292*W22-0.0098)&gt;0.85,0.85,IF((0.0326*(W22^5)-0.2806*(W22^4)+0.9816*(W22^3)-1.8039*(W22^2)+1.8292*W22-0.0098)&lt;0,0,(0.0326*(W22^5)-0.2806*(W22^4)+0.9816*(W22^3)-1.8039*(W22^2)+1.8292*W22-0.0098))),IF((0.0304*(W22^5)-0.2619*(W22^4)+0.9161*(W22^3)-1.6837*(W22^2)+1.7072*W22-0.0091)&gt;0.8,0.8,IF((0.0304*(W22^5)-0.2619*(W22^4)+0.9161*(W22^3)-1.6837*(W22^2)+1.7072*W22-0.0091)&lt;0,0,(0.0304*(W22^5)-0.2619*(W22^4)+0.9161*(W22^3)-1.6837*(W22^2)+1.7072*W22-0.0091))))</f>
        <v>0.84767504501664548</v>
      </c>
      <c r="AO22" s="1005">
        <f>T22*AN22</f>
        <v>342.42253680436727</v>
      </c>
      <c r="AP22" s="647">
        <f>IF(AK22=AH22,AM22,AO22)</f>
        <v>342.42253680436727</v>
      </c>
      <c r="AQ22" s="789">
        <f>IF(AF22&lt;0,0,AF22)</f>
        <v>0.36675950525343998</v>
      </c>
      <c r="AR22" s="789">
        <f>IF(AK22&lt;0,0,AK22)</f>
        <v>4.7091004973899881</v>
      </c>
      <c r="AS22" s="790">
        <f>IF(AP22&lt;0,0,AP22)</f>
        <v>342.42253680436727</v>
      </c>
    </row>
    <row r="23" spans="1:45" ht="30" x14ac:dyDescent="0.25">
      <c r="A23" s="261" t="s">
        <v>638</v>
      </c>
      <c r="B23" s="510">
        <v>38.021869000000002</v>
      </c>
      <c r="C23" s="510">
        <v>-78.461609999999993</v>
      </c>
      <c r="D23" s="510" t="s">
        <v>286</v>
      </c>
      <c r="E23" s="511">
        <v>295.02</v>
      </c>
      <c r="F23" s="669">
        <v>39308</v>
      </c>
      <c r="G23" s="510" t="s">
        <v>281</v>
      </c>
      <c r="H23" s="511"/>
      <c r="I23" s="511"/>
      <c r="J23" s="511" t="s">
        <v>343</v>
      </c>
      <c r="K23" s="511" t="s">
        <v>284</v>
      </c>
      <c r="L23" s="261"/>
      <c r="M23" s="514">
        <f>N23+O23+P23</f>
        <v>0.74594038725119494</v>
      </c>
      <c r="N23" s="672">
        <v>0.28153075218899998</v>
      </c>
      <c r="O23" s="514">
        <v>0.46440963506219501</v>
      </c>
      <c r="P23" s="514">
        <v>0</v>
      </c>
      <c r="Q23" s="673">
        <f>+N23/M23</f>
        <v>0.37741722663180416</v>
      </c>
      <c r="R23" s="674">
        <f>IF(L22="TT",(1.76*N23+0.5*O23+0.13*P23)-AF22,1.76*N23+0.5*O23+0.13*P23)</f>
        <v>0.72769894138373747</v>
      </c>
      <c r="S23" s="674">
        <f>IF(L22="TT",(M23*9.39+N23*6.99+O23*2.36)-AK22,M23*9.39+N23*6.99+O23*2.36)</f>
        <v>10.068286932836612</v>
      </c>
      <c r="T23" s="674">
        <f>IF(L22="TT",(M23*676.94+N23*101.08+O23*77.38)-AP22,M23*676.94+N23*101.08+O23*77.38)</f>
        <v>569.35003173820076</v>
      </c>
      <c r="U23" s="1022" t="s">
        <v>285</v>
      </c>
      <c r="V23" s="514">
        <v>852.16428000000008</v>
      </c>
      <c r="W23" s="675">
        <f>IF(V23="NA", 0, (V23)*12/N23/43560)</f>
        <v>0.83385562029970106</v>
      </c>
      <c r="X23" s="634" t="str">
        <f t="shared" si="0"/>
        <v>NA</v>
      </c>
      <c r="Y23" s="676">
        <f>IF(X23="NA",0,R23*X23)</f>
        <v>0</v>
      </c>
      <c r="Z23" s="635">
        <f>IF(ISNA(VLOOKUP(J23,'Efficiency Lookup'!$B$2:$C$38,2,FALSE)),0,(VLOOKUP(J23,'Efficiency Lookup'!$B$2:$C$38,2,FALSE)))</f>
        <v>0.5</v>
      </c>
      <c r="AA23" s="139">
        <f>R23*Z23</f>
        <v>0.36384947069186874</v>
      </c>
      <c r="AB23" s="635">
        <f>IF(ISNA(VLOOKUP(K23,'Efficiency Lookup'!$D$2:$E$35,2,FALSE)),0,VLOOKUP(K23,'Efficiency Lookup'!$D$2:$E$35,2,FALSE))</f>
        <v>0.45</v>
      </c>
      <c r="AC23" s="139">
        <f>R23*AB23</f>
        <v>0.32746452362268186</v>
      </c>
      <c r="AD23" s="521">
        <f>IF(U23="RR",IF((0.0304*(W23^5)-0.2619*(W23^4)+0.9161*(W23^3)-1.6837*(W23^2)+1.7072*W23-0.0091)&gt;0.85,0.85,IF((0.0304*(W23^5)-0.2619*(W23^4)+0.9161*(W23^3)-1.6837*(W23^2)+1.7072*W23-0.0091)&lt;0,0,(0.0304*(W23^5)-0.2619*(W23^4)+0.9161*(W23^3)-1.6837*(W23^2)+1.7072*W23-0.0091))),IF((0.0239*(W23^5)-0.2058*(W23^4)+0.7198*(W23^3)-1.3229*(W23^2)+1.3414*W23-0.0072)&gt;0.65,0.65,IF((0.0239*(W23^5)-0.2058*(W23^4)+0.7198*(W23^3)-1.3229*(W23^2)+1.3414*W23-0.0072)&lt;0,0,(0.0239*(W23^5)-0.2058*(W23^4)+0.7198*(W23^3)-1.3229*(W23^2)+1.3414*W23-0.0072))))</f>
        <v>0.66054040810383541</v>
      </c>
      <c r="AE23" s="1022">
        <f>R23*AD23</f>
        <v>0.48067455571834294</v>
      </c>
      <c r="AF23" s="516">
        <f>MAX(Y23,AA23,AC23,AE23)</f>
        <v>0.48067455571834294</v>
      </c>
      <c r="AG23" s="634">
        <f>IF(ISNA(VLOOKUP(K23,'Efficiency Lookup'!$D$2:$G$35,3,FALSE)),0,VLOOKUP(K23,'Efficiency Lookup'!$D$2:$G$35,3,FALSE))</f>
        <v>0.25</v>
      </c>
      <c r="AH23" s="139">
        <f>S23*AG23</f>
        <v>2.517071733209153</v>
      </c>
      <c r="AI23" s="649">
        <f>IF(U23="RR",IF((0.0308*(W23^5)-0.2562*(W23^4)+0.8634*(W23^3)-1.5285*(W23^2)+1.501*W23-0.013)&gt;0.7,0.7,IF((0.0308*(W23^5)-0.2562*(W23^4)+0.8634*(W23^3)-1.5285*(W23^2)+1.501*W23-0.013)&lt;0,0,(0.0308*(W23^5)-0.2562*(W23^4)+0.8634*(W23^3)-1.5285*(W23^2)+1.501*W23-0.013))),IF((0.0152*(W23^5)-0.131*(W23^4)+0.4581*(W23^3)-0.8418*(W23^2)+0.8536*W23-0.0046)&gt;0.65,0.65,IF((0.0152*(W23^5)-0.131*(W23^4)+0.4581*(W23^3)-0.8418*(W23^2)+0.8536*W23-0.0046)&lt;0,0,(0.0152*(W23^5)-0.131*(W23^4)+0.4581*(W23^3)-0.8418*(W23^2)+0.8536*W23-0.0046))))</f>
        <v>0.56497422942193987</v>
      </c>
      <c r="AJ23" s="1022">
        <f>S23*AI23</f>
        <v>5.6883226514783516</v>
      </c>
      <c r="AK23" s="416">
        <f t="shared" si="1"/>
        <v>5.6883226514783516</v>
      </c>
      <c r="AL23" s="634">
        <f>IF(ISNA(VLOOKUP(K23,'Efficiency Lookup'!$D$2:$G$35,4,FALSE)),0,VLOOKUP(K23,'Efficiency Lookup'!$D$2:$G$35,4,FALSE))</f>
        <v>0.55000000000000004</v>
      </c>
      <c r="AM23" s="139">
        <f>T23*AL23</f>
        <v>313.14251745601047</v>
      </c>
      <c r="AN23" s="521">
        <f>IF(U23="RR",IF((0.0326*(W23^5)-0.2806*(W23^4)+0.9816*(W23^3)-1.8039*(W23^2)+1.8292*W23-0.0098)&gt;0.85,0.85,IF((0.0326*(W23^5)-0.2806*(W23^4)+0.9816*(W23^3)-1.8039*(W23^2)+1.8292*W23-0.0098)&lt;0,0,(0.0326*(W23^5)-0.2806*(W23^4)+0.9816*(W23^3)-1.8039*(W23^2)+1.8292*W23-0.0098))),IF((0.0304*(W23^5)-0.2619*(W23^4)+0.9161*(W23^3)-1.6837*(W23^2)+1.7072*W23-0.0091)&gt;0.8,0.8,IF((0.0304*(W23^5)-0.2619*(W23^4)+0.9161*(W23^3)-1.6837*(W23^2)+1.7072*W23-0.0091)&lt;0,0,(0.0304*(W23^5)-0.2619*(W23^4)+0.9161*(W23^3)-1.6837*(W23^2)+1.7072*W23-0.0091))))</f>
        <v>0.70781645747834065</v>
      </c>
      <c r="AO23" s="1005">
        <f>T23*AN23</f>
        <v>402.99532253011409</v>
      </c>
      <c r="AP23" s="647">
        <f>IF(AK23=AH23,AM23,AO23)</f>
        <v>402.99532253011409</v>
      </c>
      <c r="AQ23" s="789">
        <f>IF(AF23&lt;0,0,AF23)</f>
        <v>0.48067455571834294</v>
      </c>
      <c r="AR23" s="789">
        <f>IF(AK23&lt;0,0,AK23)</f>
        <v>5.6883226514783516</v>
      </c>
      <c r="AS23" s="790">
        <f>IF(AP23&lt;0,0,AP23)</f>
        <v>402.99532253011409</v>
      </c>
    </row>
    <row r="24" spans="1:45" ht="30" x14ac:dyDescent="0.25">
      <c r="A24" s="261" t="s">
        <v>638</v>
      </c>
      <c r="B24" s="510">
        <v>38.022171</v>
      </c>
      <c r="C24" s="510">
        <v>-78.462158000000002</v>
      </c>
      <c r="D24" s="510" t="s">
        <v>286</v>
      </c>
      <c r="E24" s="511">
        <v>295.02999999999997</v>
      </c>
      <c r="F24" s="669">
        <v>39308</v>
      </c>
      <c r="G24" s="510" t="s">
        <v>281</v>
      </c>
      <c r="H24" s="511"/>
      <c r="I24" s="511"/>
      <c r="J24" s="511" t="s">
        <v>343</v>
      </c>
      <c r="K24" s="511" t="s">
        <v>284</v>
      </c>
      <c r="L24" s="261"/>
      <c r="M24" s="514">
        <f>N24+O24+P24</f>
        <v>0.22374104620169999</v>
      </c>
      <c r="N24" s="672">
        <v>9.7357555486699998E-2</v>
      </c>
      <c r="O24" s="514">
        <v>0.12638349071499999</v>
      </c>
      <c r="P24" s="514">
        <v>0</v>
      </c>
      <c r="Q24" s="673">
        <f>+N24/M24</f>
        <v>0.43513497920686972</v>
      </c>
      <c r="R24" s="674">
        <f>IF(L23="TT",(1.76*N24+0.5*O24+0.13*P24)-AF23,1.76*N24+0.5*O24+0.13*P24)</f>
        <v>0.23454104301409198</v>
      </c>
      <c r="S24" s="674">
        <f>IF(L23="TT",(M24*9.39+N24*6.99+O24*2.36)-AK23,M24*9.39+N24*6.99+O24*2.36)</f>
        <v>3.0797227747733964</v>
      </c>
      <c r="T24" s="674">
        <f>IF(L23="TT",(M24*676.94+N24*101.08+O24*77.38)-AP23,M24*676.94+N24*101.08+O24*77.38)</f>
        <v>171.07972003590112</v>
      </c>
      <c r="U24" s="1022" t="s">
        <v>285</v>
      </c>
      <c r="V24" s="514">
        <f>0.02108*43560</f>
        <v>918.24480000000005</v>
      </c>
      <c r="W24" s="675">
        <f>IF(V24="NA", 0, (V24)*12/N24/43560)</f>
        <v>2.598257513096216</v>
      </c>
      <c r="X24" s="634" t="str">
        <f t="shared" si="0"/>
        <v>NA</v>
      </c>
      <c r="Y24" s="676">
        <f>IF(X24="NA",0,R24*X24)</f>
        <v>0</v>
      </c>
      <c r="Z24" s="635">
        <f>IF(ISNA(VLOOKUP(J24,'Efficiency Lookup'!$B$2:$C$38,2,FALSE)),0,(VLOOKUP(J24,'Efficiency Lookup'!$B$2:$C$38,2,FALSE)))</f>
        <v>0.5</v>
      </c>
      <c r="AA24" s="139">
        <f>R24*Z24</f>
        <v>0.11727052150704599</v>
      </c>
      <c r="AB24" s="635">
        <f>IF(ISNA(VLOOKUP(K24,'Efficiency Lookup'!$D$2:$E$35,2,FALSE)),0,VLOOKUP(K24,'Efficiency Lookup'!$D$2:$E$35,2,FALSE))</f>
        <v>0.45</v>
      </c>
      <c r="AC24" s="139">
        <f>R24*AB24</f>
        <v>0.10554346935634139</v>
      </c>
      <c r="AD24" s="521">
        <f>IF(U24="RR",IF((0.0304*(W24^5)-0.2619*(W24^4)+0.9161*(W24^3)-1.6837*(W24^2)+1.7072*W24-0.0091)&gt;0.85,0.85,IF((0.0304*(W24^5)-0.2619*(W24^4)+0.9161*(W24^3)-1.6837*(W24^2)+1.7072*W24-0.0091)&lt;0,0,(0.0304*(W24^5)-0.2619*(W24^4)+0.9161*(W24^3)-1.6837*(W24^2)+1.7072*W24-0.0091))),IF((0.0239*(W24^5)-0.2058*(W24^4)+0.7198*(W24^3)-1.3229*(W24^2)+1.3414*W24-0.0072)&gt;0.65,0.65,IF((0.0239*(W24^5)-0.2058*(W24^4)+0.7198*(W24^3)-1.3229*(W24^2)+1.3414*W24-0.0072)&lt;0,0,(0.0239*(W24^5)-0.2058*(W24^4)+0.7198*(W24^3)-1.3229*(W24^2)+1.3414*W24-0.0072))))</f>
        <v>0.79280769644212257</v>
      </c>
      <c r="AE24" s="1005">
        <f>R24*AD24</f>
        <v>0.18594594403313505</v>
      </c>
      <c r="AF24" s="516">
        <f>MAX(Y24,AA24,AC24,AE24)</f>
        <v>0.18594594403313505</v>
      </c>
      <c r="AG24" s="634">
        <f>IF(ISNA(VLOOKUP(K24,'Efficiency Lookup'!$D$2:$G$35,3,FALSE)),0,VLOOKUP(K24,'Efficiency Lookup'!$D$2:$G$35,3,FALSE))</f>
        <v>0.25</v>
      </c>
      <c r="AH24" s="139">
        <f>S24*AG24</f>
        <v>0.7699306936933491</v>
      </c>
      <c r="AI24" s="521">
        <f>IF(U24="RR",IF((0.0308*(W24^5)-0.2562*(W24^4)+0.8634*(W24^3)-1.5285*(W24^2)+1.501*W24-0.013)&gt;0.7,0.7,IF((0.0308*(W24^5)-0.2562*(W24^4)+0.8634*(W24^3)-1.5285*(W24^2)+1.501*W24-0.013)&lt;0,0,(0.0308*(W24^5)-0.2562*(W24^4)+0.8634*(W24^3)-1.5285*(W24^2)+1.501*W24-0.013))),IF((0.0152*(W24^5)-0.131*(W24^4)+0.4581*(W24^3)-0.8418*(W24^2)+0.8536*W24-0.0046)&gt;0.65,0.65,IF((0.0152*(W24^5)-0.131*(W24^4)+0.4581*(W24^3)-0.8418*(W24^2)+0.8536*W24-0.0046)&lt;0,0,(0.0152*(W24^5)-0.131*(W24^4)+0.4581*(W24^3)-0.8418*(W24^2)+0.8536*W24-0.0046))))</f>
        <v>0.68364426973422521</v>
      </c>
      <c r="AJ24" s="1005">
        <f>S24*AI24</f>
        <v>2.1054348273438204</v>
      </c>
      <c r="AK24" s="416">
        <f t="shared" si="1"/>
        <v>2.1054348273438204</v>
      </c>
      <c r="AL24" s="634">
        <f>IF(ISNA(VLOOKUP(K24,'Efficiency Lookup'!$D$2:$G$35,4,FALSE)),0,VLOOKUP(K24,'Efficiency Lookup'!$D$2:$G$35,4,FALSE))</f>
        <v>0.55000000000000004</v>
      </c>
      <c r="AM24" s="139">
        <f>T24*AL24</f>
        <v>94.093846019745627</v>
      </c>
      <c r="AN24" s="521">
        <f>IF(U24="RR",IF((0.0326*(W24^5)-0.2806*(W24^4)+0.9816*(W24^3)-1.8039*(W24^2)+1.8292*W24-0.0098)&gt;0.85,0.85,IF((0.0326*(W24^5)-0.2806*(W24^4)+0.9816*(W24^3)-1.8039*(W24^2)+1.8292*W24-0.0098)&lt;0,0,(0.0326*(W24^5)-0.2806*(W24^4)+0.9816*(W24^3)-1.8039*(W24^2)+1.8292*W24-0.0098))),IF((0.0304*(W24^5)-0.2619*(W24^4)+0.9161*(W24^3)-1.6837*(W24^2)+1.7072*W24-0.0091)&gt;0.8,0.8,IF((0.0304*(W24^5)-0.2619*(W24^4)+0.9161*(W24^3)-1.6837*(W24^2)+1.7072*W24-0.0091)&lt;0,0,(0.0304*(W24^5)-0.2619*(W24^4)+0.9161*(W24^3)-1.6837*(W24^2)+1.7072*W24-0.0091))))</f>
        <v>0.85</v>
      </c>
      <c r="AO24" s="1005">
        <f>T24*AN24</f>
        <v>145.41776203051595</v>
      </c>
      <c r="AP24" s="647">
        <f>IF(AK24=AH24,AM24,AO24)</f>
        <v>145.41776203051595</v>
      </c>
      <c r="AQ24" s="789">
        <f>IF(AF24&lt;0,0,AF24)</f>
        <v>0.18594594403313505</v>
      </c>
      <c r="AR24" s="789">
        <f>IF(AK24&lt;0,0,AK24)</f>
        <v>2.1054348273438204</v>
      </c>
      <c r="AS24" s="790">
        <f>IF(AP24&lt;0,0,AP24)</f>
        <v>145.41776203051595</v>
      </c>
    </row>
    <row r="25" spans="1:45" ht="30" x14ac:dyDescent="0.25">
      <c r="A25" s="261" t="s">
        <v>638</v>
      </c>
      <c r="B25" s="510">
        <v>38.022424999999998</v>
      </c>
      <c r="C25" s="510">
        <v>-78.461957999999996</v>
      </c>
      <c r="D25" s="510" t="s">
        <v>286</v>
      </c>
      <c r="E25" s="511">
        <v>295.04000000000002</v>
      </c>
      <c r="F25" s="669">
        <v>39308</v>
      </c>
      <c r="G25" s="510" t="s">
        <v>281</v>
      </c>
      <c r="H25" s="511"/>
      <c r="I25" s="511"/>
      <c r="J25" s="511" t="s">
        <v>343</v>
      </c>
      <c r="K25" s="511" t="s">
        <v>284</v>
      </c>
      <c r="L25" s="261"/>
      <c r="M25" s="514">
        <f>N25+O25+P25</f>
        <v>0.22111573889180003</v>
      </c>
      <c r="N25" s="672">
        <v>0.13401937176100001</v>
      </c>
      <c r="O25" s="514">
        <v>8.7096367130800004E-2</v>
      </c>
      <c r="P25" s="514">
        <v>0</v>
      </c>
      <c r="Q25" s="673">
        <f>+N25/M25</f>
        <v>0.60610507615914466</v>
      </c>
      <c r="R25" s="674">
        <f>IF(L24="TT",(1.76*N25+0.5*O25+0.13*P25)-AF24,1.76*N25+0.5*O25+0.13*P25)</f>
        <v>0.27942227786476004</v>
      </c>
      <c r="S25" s="674">
        <f>IF(L24="TT",(M25*9.39+N25*6.99+O25*2.36)-AK24,M25*9.39+N25*6.99+O25*2.36)</f>
        <v>3.2186196232320805</v>
      </c>
      <c r="T25" s="674">
        <f>IF(L24="TT",(M25*676.94+N25*101.08+O25*77.38)-AP24,M25*676.94+N25*101.08+O25*77.38)</f>
        <v>169.9682832715983</v>
      </c>
      <c r="U25" s="1022" t="s">
        <v>285</v>
      </c>
      <c r="V25" s="514">
        <f>0.038628*43560</f>
        <v>1682.6356800000001</v>
      </c>
      <c r="W25" s="675">
        <f>IF(V25="NA", 0, (V25)*12/N25/43560)</f>
        <v>3.4587238688645328</v>
      </c>
      <c r="X25" s="634" t="str">
        <f t="shared" si="0"/>
        <v>NA</v>
      </c>
      <c r="Y25" s="676">
        <f>IF(X25="NA",0,R25*X25)</f>
        <v>0</v>
      </c>
      <c r="Z25" s="635">
        <f>IF(ISNA(VLOOKUP(J25,'Efficiency Lookup'!$B$2:$C$38,2,FALSE)),0,(VLOOKUP(J25,'Efficiency Lookup'!$B$2:$C$38,2,FALSE)))</f>
        <v>0.5</v>
      </c>
      <c r="AA25" s="139">
        <f>R25*Z25</f>
        <v>0.13971113893238002</v>
      </c>
      <c r="AB25" s="635">
        <f>IF(ISNA(VLOOKUP(K25,'Efficiency Lookup'!$D$2:$E$35,2,FALSE)),0,VLOOKUP(K25,'Efficiency Lookup'!$D$2:$E$35,2,FALSE))</f>
        <v>0.45</v>
      </c>
      <c r="AC25" s="139">
        <f>R25*AB25</f>
        <v>0.12574002503914203</v>
      </c>
      <c r="AD25" s="521">
        <f>IF(U25="RR",IF((0.0304*(W25^5)-0.2619*(W25^4)+0.9161*(W25^3)-1.6837*(W25^2)+1.7072*W25-0.0091)&gt;0.85,0.85,IF((0.0304*(W25^5)-0.2619*(W25^4)+0.9161*(W25^3)-1.6837*(W25^2)+1.7072*W25-0.0091)&lt;0,0,(0.0304*(W25^5)-0.2619*(W25^4)+0.9161*(W25^3)-1.6837*(W25^2)+1.7072*W25-0.0091))),IF((0.0239*(W25^5)-0.2058*(W25^4)+0.7198*(W25^3)-1.3229*(W25^2)+1.3414*W25-0.0072)&gt;0.65,0.65,IF((0.0239*(W25^5)-0.2058*(W25^4)+0.7198*(W25^3)-1.3229*(W25^2)+1.3414*W25-0.0072)&lt;0,0,(0.0239*(W25^5)-0.2058*(W25^4)+0.7198*(W25^3)-1.3229*(W25^2)+1.3414*W25-0.0072))))</f>
        <v>0.85</v>
      </c>
      <c r="AE25" s="1005">
        <f>R25*AD25</f>
        <v>0.23750893618504604</v>
      </c>
      <c r="AF25" s="516">
        <f>MAX(Y25,AA25,AC25,AE25)</f>
        <v>0.23750893618504604</v>
      </c>
      <c r="AG25" s="634">
        <f>IF(ISNA(VLOOKUP(K25,'Efficiency Lookup'!$D$2:$G$35,3,FALSE)),0,VLOOKUP(K25,'Efficiency Lookup'!$D$2:$G$35,3,FALSE))</f>
        <v>0.25</v>
      </c>
      <c r="AH25" s="139">
        <f>S25*AG25</f>
        <v>0.80465490580802013</v>
      </c>
      <c r="AI25" s="521">
        <f>IF(U25="RR",IF((0.0308*(W25^5)-0.2562*(W25^4)+0.8634*(W25^3)-1.5285*(W25^2)+1.501*W25-0.013)&gt;0.7,0.7,IF((0.0308*(W25^5)-0.2562*(W25^4)+0.8634*(W25^3)-1.5285*(W25^2)+1.501*W25-0.013)&lt;0,0,(0.0308*(W25^5)-0.2562*(W25^4)+0.8634*(W25^3)-1.5285*(W25^2)+1.501*W25-0.013))),IF((0.0152*(W25^5)-0.131*(W25^4)+0.4581*(W25^3)-0.8418*(W25^2)+0.8536*W25-0.0046)&gt;0.65,0.65,IF((0.0152*(W25^5)-0.131*(W25^4)+0.4581*(W25^3)-0.8418*(W25^2)+0.8536*W25-0.0046)&lt;0,0,(0.0152*(W25^5)-0.131*(W25^4)+0.4581*(W25^3)-0.8418*(W25^2)+0.8536*W25-0.0046))))</f>
        <v>0.7</v>
      </c>
      <c r="AJ25" s="1005">
        <f>S25*AI25</f>
        <v>2.2530337362624562</v>
      </c>
      <c r="AK25" s="416">
        <f t="shared" si="1"/>
        <v>2.2530337362624562</v>
      </c>
      <c r="AL25" s="634">
        <f>IF(ISNA(VLOOKUP(K25,'Efficiency Lookup'!$D$2:$G$35,4,FALSE)),0,VLOOKUP(K25,'Efficiency Lookup'!$D$2:$G$35,4,FALSE))</f>
        <v>0.55000000000000004</v>
      </c>
      <c r="AM25" s="139">
        <f>T25*AL25</f>
        <v>93.482555799379071</v>
      </c>
      <c r="AN25" s="521">
        <f>IF(U25="RR",IF((0.0326*(W25^5)-0.2806*(W25^4)+0.9816*(W25^3)-1.8039*(W25^2)+1.8292*W25-0.0098)&gt;0.85,0.85,IF((0.0326*(W25^5)-0.2806*(W25^4)+0.9816*(W25^3)-1.8039*(W25^2)+1.8292*W25-0.0098)&lt;0,0,(0.0326*(W25^5)-0.2806*(W25^4)+0.9816*(W25^3)-1.8039*(W25^2)+1.8292*W25-0.0098))),IF((0.0304*(W25^5)-0.2619*(W25^4)+0.9161*(W25^3)-1.6837*(W25^2)+1.7072*W25-0.0091)&gt;0.8,0.8,IF((0.0304*(W25^5)-0.2619*(W25^4)+0.9161*(W25^3)-1.6837*(W25^2)+1.7072*W25-0.0091)&lt;0,0,(0.0304*(W25^5)-0.2619*(W25^4)+0.9161*(W25^3)-1.6837*(W25^2)+1.7072*W25-0.0091))))</f>
        <v>0.85</v>
      </c>
      <c r="AO25" s="1005">
        <f>T25*AN25</f>
        <v>144.47304078085855</v>
      </c>
      <c r="AP25" s="647">
        <f>IF(AK25=AH25,AM25,AO25)</f>
        <v>144.47304078085855</v>
      </c>
      <c r="AQ25" s="789">
        <f>IF(AF25&lt;0,0,AF25)</f>
        <v>0.23750893618504604</v>
      </c>
      <c r="AR25" s="789">
        <f>IF(AK25&lt;0,0,AK25)</f>
        <v>2.2530337362624562</v>
      </c>
      <c r="AS25" s="790">
        <f>IF(AP25&lt;0,0,AP25)</f>
        <v>144.47304078085855</v>
      </c>
    </row>
    <row r="26" spans="1:45" x14ac:dyDescent="0.25">
      <c r="A26" s="261"/>
      <c r="B26" s="510" t="s">
        <v>297</v>
      </c>
      <c r="C26" s="510" t="s">
        <v>297</v>
      </c>
      <c r="D26" s="510" t="s">
        <v>297</v>
      </c>
      <c r="E26" s="511"/>
      <c r="F26" s="705"/>
      <c r="G26" s="510"/>
      <c r="H26" s="511"/>
      <c r="I26" s="261" t="str">
        <f t="shared" si="2"/>
        <v/>
      </c>
      <c r="J26" s="511"/>
      <c r="K26" s="511"/>
      <c r="L26" s="510"/>
      <c r="M26" s="510"/>
      <c r="N26" s="672"/>
      <c r="O26" s="514"/>
      <c r="P26" s="514" t="s">
        <v>297</v>
      </c>
      <c r="Q26" s="688"/>
      <c r="R26" s="674"/>
      <c r="S26" s="674"/>
      <c r="T26" s="674"/>
      <c r="U26" s="1022"/>
      <c r="V26" s="514"/>
      <c r="W26" s="675"/>
      <c r="X26" s="636" t="str">
        <f t="shared" si="0"/>
        <v/>
      </c>
      <c r="Y26" s="706"/>
      <c r="Z26" s="640"/>
      <c r="AA26" s="1022"/>
      <c r="AB26" s="637"/>
      <c r="AC26" s="637"/>
      <c r="AD26" s="637"/>
      <c r="AE26" s="139"/>
      <c r="AF26" s="642"/>
      <c r="AG26" s="583"/>
      <c r="AH26" s="139"/>
      <c r="AI26" s="637"/>
      <c r="AJ26" s="139"/>
      <c r="AK26" s="416" t="str">
        <f t="shared" si="1"/>
        <v/>
      </c>
      <c r="AL26" s="642"/>
      <c r="AM26" s="637"/>
      <c r="AN26" s="637"/>
      <c r="AO26" s="139"/>
      <c r="AP26" s="647"/>
      <c r="AQ26" s="789"/>
      <c r="AR26" s="789"/>
      <c r="AS26" s="790"/>
    </row>
    <row r="27" spans="1:45" x14ac:dyDescent="0.25">
      <c r="A27" s="628"/>
      <c r="B27" s="668" t="s">
        <v>297</v>
      </c>
      <c r="C27" s="668" t="s">
        <v>297</v>
      </c>
      <c r="D27" s="668" t="s">
        <v>297</v>
      </c>
      <c r="E27" s="710"/>
      <c r="F27" s="711"/>
      <c r="G27" s="668"/>
      <c r="H27" s="712"/>
      <c r="I27" s="712" t="str">
        <f t="shared" si="2"/>
        <v/>
      </c>
      <c r="J27" s="712"/>
      <c r="K27" s="712"/>
      <c r="L27" s="712"/>
      <c r="M27" s="712"/>
      <c r="N27" s="712"/>
      <c r="O27" s="712"/>
      <c r="P27" s="712"/>
      <c r="Q27" s="712"/>
      <c r="R27" s="712"/>
      <c r="S27" s="712"/>
      <c r="T27" s="712"/>
      <c r="U27" s="712"/>
      <c r="V27" s="712"/>
      <c r="W27" s="712"/>
      <c r="X27" s="760" t="str">
        <f t="shared" si="0"/>
        <v/>
      </c>
      <c r="Y27" s="713"/>
      <c r="Z27" s="712"/>
      <c r="AA27" s="712"/>
      <c r="AB27" s="638"/>
      <c r="AC27" s="638"/>
      <c r="AD27" s="638"/>
      <c r="AE27" s="629"/>
      <c r="AF27" s="666"/>
      <c r="AG27" s="666"/>
      <c r="AH27" s="629"/>
      <c r="AI27" s="638"/>
      <c r="AJ27" s="629"/>
      <c r="AK27" s="639" t="str">
        <f t="shared" si="1"/>
        <v/>
      </c>
      <c r="AL27" s="644"/>
      <c r="AM27" s="638"/>
      <c r="AN27" s="638"/>
      <c r="AO27" s="629"/>
      <c r="AP27" s="648"/>
      <c r="AQ27" s="791"/>
      <c r="AR27" s="791"/>
      <c r="AS27" s="792"/>
    </row>
    <row r="28" spans="1:45" x14ac:dyDescent="0.25">
      <c r="A28" s="261"/>
      <c r="B28" s="510" t="s">
        <v>297</v>
      </c>
      <c r="C28" s="510" t="s">
        <v>297</v>
      </c>
      <c r="D28" s="510" t="s">
        <v>297</v>
      </c>
      <c r="E28" s="704"/>
      <c r="F28" s="705"/>
      <c r="G28" s="510"/>
      <c r="H28" s="511"/>
      <c r="I28" s="511" t="str">
        <f t="shared" si="2"/>
        <v/>
      </c>
      <c r="J28" s="511"/>
      <c r="K28" s="511"/>
      <c r="L28" s="511"/>
      <c r="M28" s="511"/>
      <c r="N28" s="511"/>
      <c r="O28" s="511"/>
      <c r="P28" s="511"/>
      <c r="Q28" s="511"/>
      <c r="R28" s="511"/>
      <c r="S28" s="511"/>
      <c r="T28" s="511"/>
      <c r="U28" s="511"/>
      <c r="V28" s="511"/>
      <c r="W28" s="511"/>
      <c r="X28" s="761" t="str">
        <f t="shared" si="0"/>
        <v/>
      </c>
      <c r="Y28" s="1023"/>
      <c r="Z28" s="511"/>
      <c r="AA28" s="511"/>
      <c r="AB28" s="637"/>
      <c r="AC28" s="637"/>
      <c r="AD28" s="637"/>
      <c r="AE28" s="139"/>
      <c r="AF28" s="583"/>
      <c r="AG28" s="583"/>
      <c r="AH28" s="139"/>
      <c r="AI28" s="637"/>
      <c r="AJ28" s="139"/>
      <c r="AK28" s="416" t="str">
        <f t="shared" si="1"/>
        <v/>
      </c>
      <c r="AL28" s="642"/>
      <c r="AM28" s="637"/>
      <c r="AN28" s="637"/>
      <c r="AO28" s="139"/>
      <c r="AP28" s="647"/>
      <c r="AQ28" s="789"/>
      <c r="AR28" s="789"/>
      <c r="AS28" s="790"/>
    </row>
    <row r="29" spans="1:45" ht="45" x14ac:dyDescent="0.25">
      <c r="A29" s="261" t="s">
        <v>639</v>
      </c>
      <c r="B29" s="510">
        <v>38.098367312500002</v>
      </c>
      <c r="C29" s="510">
        <v>-78.464446187500002</v>
      </c>
      <c r="D29" s="510" t="s">
        <v>296</v>
      </c>
      <c r="E29" s="714" t="s">
        <v>640</v>
      </c>
      <c r="F29" s="669">
        <v>39038</v>
      </c>
      <c r="G29" s="510" t="s">
        <v>289</v>
      </c>
      <c r="H29" s="511" t="s">
        <v>641</v>
      </c>
      <c r="I29" s="511" t="str">
        <f t="shared" si="2"/>
        <v>Filterra</v>
      </c>
      <c r="J29" s="511"/>
      <c r="K29" s="511"/>
      <c r="L29" s="261"/>
      <c r="M29" s="514">
        <f>N29+O29+P29</f>
        <v>4.6515340000000007</v>
      </c>
      <c r="N29" s="672">
        <v>2.9133710000000002</v>
      </c>
      <c r="O29" s="514">
        <v>1.6511210000000001</v>
      </c>
      <c r="P29" s="514">
        <v>8.7041999999999994E-2</v>
      </c>
      <c r="Q29" s="673">
        <f>+N29/M29</f>
        <v>0.62632477801946618</v>
      </c>
      <c r="R29" s="674">
        <f>IF(L14="TT",(1.76*N29+0.5*O29+0.13*P29)-AF14,1.76*N29+0.5*O29+0.13*P29)</f>
        <v>5.9644089199999994</v>
      </c>
      <c r="S29" s="674">
        <f>IF(L14="TT",(M29*9.39+N29*6.99+O29*2.36)-AK14,M29*9.39+N29*6.99+O29*2.36)</f>
        <v>67.939013110000019</v>
      </c>
      <c r="T29" s="674">
        <f>IF(L14="TT",(M29*676.94+N29*101.08+O29*77.38)-AP14,M29*676.94+N29*101.08+O29*77.38)</f>
        <v>3571.0567096200007</v>
      </c>
      <c r="U29" s="1022" t="s">
        <v>278</v>
      </c>
      <c r="V29" s="514">
        <f>35.4*7+7*53.1+106.2+47.2</f>
        <v>772.90000000000009</v>
      </c>
      <c r="W29" s="675">
        <f>IF(V29="NA", 0, (V29)*12/N29/43560)</f>
        <v>7.3083761111385231E-2</v>
      </c>
      <c r="X29" s="636">
        <f t="shared" si="0"/>
        <v>0.5</v>
      </c>
      <c r="Y29" s="706">
        <f>IF(X29="NA",0,R29*X29)</f>
        <v>2.9822044599999997</v>
      </c>
      <c r="Z29" s="635">
        <f>IF(ISNA(VLOOKUP(J29,'Efficiency Lookup'!$B$2:$C$38,2,FALSE)),0,(VLOOKUP(J29,'Efficiency Lookup'!$B$2:$C$38,2,FALSE)))</f>
        <v>0</v>
      </c>
      <c r="AA29" s="139">
        <f>R29*Z29</f>
        <v>0</v>
      </c>
      <c r="AB29" s="635">
        <f>IF(ISNA(VLOOKUP(K29,'Efficiency Lookup'!$D$2:$E$35,2,FALSE)),0,VLOOKUP(K29,'Efficiency Lookup'!$D$2:$E$35,2,FALSE))</f>
        <v>0</v>
      </c>
      <c r="AC29" s="139">
        <f>R29*AB29</f>
        <v>0</v>
      </c>
      <c r="AD29" s="637">
        <f>IF(U29="RR",IF((0.0304*(W29^5)-0.2619*(W29^4)+0.9161*(W29^3)-1.6837*(W29^2)+1.7072*W29-0.0091)&gt;0.85,0.85,IF((0.0304*(W29^5)-0.2619*(W29^4)+0.9161*(W29^3)-1.6837*(W29^2)+1.7072*W29-0.0091)&lt;0,0,(0.0304*(W29^5)-0.2619*(W29^4)+0.9161*(W29^3)-1.6837*(W29^2)+1.7072*W29-0.0091))),IF((0.0239*(W29^5)-0.2058*(W29^4)+0.7198*(W29^3)-1.3229*(W29^2)+1.3414*W29-0.0072)&gt;0.65,0.65,IF((0.0239*(W29^5)-0.2058*(W29^4)+0.7198*(W29^3)-1.3229*(W29^2)+1.3414*W29-0.0072)&lt;0,0,(0.0239*(W29^5)-0.2058*(W29^4)+0.7198*(W29^3)-1.3229*(W29^2)+1.3414*W29-0.0072))))</f>
        <v>8.40437938903318E-2</v>
      </c>
      <c r="AE29" s="139">
        <f>R29*AD29</f>
        <v>0.50127155395013645</v>
      </c>
      <c r="AF29" s="516">
        <f>MAX(Y29,AA29,AC29,AE29)</f>
        <v>2.9822044599999997</v>
      </c>
      <c r="AG29" s="634">
        <f>IF(ISNA(VLOOKUP(K29,'Efficiency Lookup'!$D$2:$G$35,3,FALSE)),0,VLOOKUP(K29,'Efficiency Lookup'!$D$2:$G$35,3,FALSE))</f>
        <v>0</v>
      </c>
      <c r="AH29" s="139">
        <f>S29*AG29</f>
        <v>0</v>
      </c>
      <c r="AI29" s="649">
        <f>IF(U29="RR",IF((0.0308*(W29^5)-0.2562*(W29^4)+0.8634*(W29^3)-1.5285*(W29^2)+1.501*W29-0.013)&gt;0.7,0.7,IF((0.0308*(W29^5)-0.2562*(W29^4)+0.8634*(W29^3)-1.5285*(W29^2)+1.501*W29-0.013)&lt;0,0,(0.0308*(W29^5)-0.2562*(W29^4)+0.8634*(W29^3)-1.5285*(W29^2)+1.501*W29-0.013))),IF((0.0152*(W29^5)-0.131*(W29^4)+0.4581*(W29^3)-0.8418*(W29^2)+0.8536*W29-0.0046)&gt;0.65,0.65,IF((0.0152*(W29^5)-0.131*(W29^4)+0.4581*(W29^3)-0.8418*(W29^2)+0.8536*W29-0.0046)&lt;0,0,(0.0152*(W29^5)-0.131*(W29^4)+0.4581*(W29^3)-0.8418*(W29^2)+0.8536*W29-0.0046))))</f>
        <v>5.3463163150632889E-2</v>
      </c>
      <c r="AJ29" s="1022">
        <f>S29*AI29</f>
        <v>3.6322345421929176</v>
      </c>
      <c r="AK29" s="416">
        <f t="shared" si="1"/>
        <v>3.6322345421929176</v>
      </c>
      <c r="AL29" s="634">
        <f>IF(ISNA(VLOOKUP(K29,'Efficiency Lookup'!$D$2:$G$35,4,FALSE)),0,VLOOKUP(K29,'Efficiency Lookup'!$D$2:$G$35,4,FALSE))</f>
        <v>0</v>
      </c>
      <c r="AM29" s="139">
        <f>T29*AL29</f>
        <v>0</v>
      </c>
      <c r="AN29" s="521">
        <f>IF(U29="RR",IF((0.0326*(W29^5)-0.2806*(W29^4)+0.9816*(W29^3)-1.8039*(W29^2)+1.8292*W29-0.0098)&gt;0.85,0.85,IF((0.0326*(W29^5)-0.2806*(W29^4)+0.9816*(W29^3)-1.8039*(W29^2)+1.8292*W29-0.0098)&lt;0,0,(0.0326*(W29^5)-0.2806*(W29^4)+0.9816*(W29^3)-1.8039*(W29^2)+1.8292*W29-0.0098))),IF((0.0304*(W29^5)-0.2619*(W29^4)+0.9161*(W29^3)-1.6837*(W29^2)+1.7072*W29-0.0091)&gt;0.8,0.8,IF((0.0304*(W29^5)-0.2619*(W29^4)+0.9161*(W29^3)-1.6837*(W29^2)+1.7072*W29-0.0091)&lt;0,0,(0.0304*(W29^5)-0.2619*(W29^4)+0.9161*(W29^3)-1.6837*(W29^2)+1.7072*W29-0.0091))))</f>
        <v>0.10702575599476971</v>
      </c>
      <c r="AO29" s="1005">
        <f>T29*AN29</f>
        <v>382.19504404727536</v>
      </c>
      <c r="AP29" s="647">
        <f>IF(AK29=AH29,AM29,AO29)</f>
        <v>382.19504404727536</v>
      </c>
      <c r="AQ29" s="789">
        <f>IF(AF29&lt;0,0,AF29)</f>
        <v>2.9822044599999997</v>
      </c>
      <c r="AR29" s="789">
        <f>IF(AK29&lt;0,0,AK29)</f>
        <v>3.6322345421929176</v>
      </c>
      <c r="AS29" s="790">
        <f>IF(AP29&lt;0,0,AP29)</f>
        <v>382.19504404727536</v>
      </c>
    </row>
    <row r="30" spans="1:45" ht="30" x14ac:dyDescent="0.25">
      <c r="A30" s="261" t="s">
        <v>639</v>
      </c>
      <c r="B30" s="510">
        <v>38.098857000000002</v>
      </c>
      <c r="C30" s="510">
        <v>-78.464613</v>
      </c>
      <c r="D30" s="510" t="s">
        <v>296</v>
      </c>
      <c r="E30" s="511">
        <v>270.17</v>
      </c>
      <c r="F30" s="669">
        <v>39038</v>
      </c>
      <c r="G30" s="510" t="s">
        <v>642</v>
      </c>
      <c r="H30" s="511" t="s">
        <v>643</v>
      </c>
      <c r="I30" s="511"/>
      <c r="J30" s="511"/>
      <c r="K30" s="511"/>
      <c r="L30" s="261"/>
      <c r="M30" s="514">
        <f>N30+O30+P30</f>
        <v>0.681278021989</v>
      </c>
      <c r="N30" s="672">
        <v>0.681278021989</v>
      </c>
      <c r="O30" s="514">
        <v>0</v>
      </c>
      <c r="P30" s="514">
        <v>0</v>
      </c>
      <c r="Q30" s="673">
        <f>+N30/M30</f>
        <v>1</v>
      </c>
      <c r="R30" s="674">
        <f>IF(L29="TT",(1.76*N30+0.5*O30+0.13*P30)-AF29,1.76*N30+0.5*O30+0.13*P30)</f>
        <v>1.1990493187006399</v>
      </c>
      <c r="S30" s="674">
        <f>IF(L29="TT",(M30*9.39+N30*6.99+O30*2.36)-AK29,M30*9.39+N30*6.99+O30*2.36)</f>
        <v>11.15933400017982</v>
      </c>
      <c r="T30" s="674">
        <f>IF(L29="TT",(M30*676.94+N30*101.08+O30*77.38)-AP29,M30*676.94+N30*101.08+O30*77.38)</f>
        <v>530.04792666788182</v>
      </c>
      <c r="U30" s="1022" t="s">
        <v>285</v>
      </c>
      <c r="V30" s="514">
        <v>1604.17</v>
      </c>
      <c r="W30" s="675">
        <f>IF(V30="NA", 0, (V30)*12/N30/43560)</f>
        <v>0.64866338841027926</v>
      </c>
      <c r="X30" s="634" t="str">
        <f t="shared" si="0"/>
        <v>NA</v>
      </c>
      <c r="Y30" s="676">
        <f>IF(X30="NA",0,R30*X30)</f>
        <v>0</v>
      </c>
      <c r="Z30" s="635">
        <f>IF(ISNA(VLOOKUP(J30,'Efficiency Lookup'!$B$2:$C$38,2,FALSE)),0,(VLOOKUP(J30,'Efficiency Lookup'!$B$2:$C$38,2,FALSE)))</f>
        <v>0</v>
      </c>
      <c r="AA30" s="139">
        <f>R30*Z30</f>
        <v>0</v>
      </c>
      <c r="AB30" s="635">
        <f>IF(ISNA(VLOOKUP(K30,'Efficiency Lookup'!$D$2:$E$35,2,FALSE)),0,VLOOKUP(K30,'Efficiency Lookup'!$D$2:$E$35,2,FALSE))</f>
        <v>0</v>
      </c>
      <c r="AC30" s="139">
        <f>R30*AB30</f>
        <v>0</v>
      </c>
      <c r="AD30" s="649">
        <f>IF(U30="RR",IF((0.0304*(W30^5)-0.2619*(W30^4)+0.9161*(W30^3)-1.6837*(W30^2)+1.7072*W30-0.0091)&gt;0.85,0.85,IF((0.0304*(W30^5)-0.2619*(W30^4)+0.9161*(W30^3)-1.6837*(W30^2)+1.7072*W30-0.0091)&lt;0,0,(0.0304*(W30^5)-0.2619*(W30^4)+0.9161*(W30^3)-1.6837*(W30^2)+1.7072*W30-0.0091))),IF((0.0239*(W30^5)-0.2058*(W30^4)+0.7198*(W30^3)-1.3229*(W30^2)+1.3414*W30-0.0072)&gt;0.65,0.65,IF((0.0239*(W30^5)-0.2058*(W30^4)+0.7198*(W30^3)-1.3229*(W30^2)+1.3414*W30-0.0072)&lt;0,0,(0.0239*(W30^5)-0.2058*(W30^4)+0.7198*(W30^3)-1.3229*(W30^2)+1.3414*W30-0.0072))))</f>
        <v>0.59701633783495767</v>
      </c>
      <c r="AE30" s="1022">
        <f>R30*AD30</f>
        <v>0.71585203313415702</v>
      </c>
      <c r="AF30" s="516">
        <f>MAX(Y30,AA30,AC30,AE30)</f>
        <v>0.71585203313415702</v>
      </c>
      <c r="AG30" s="634">
        <f>IF(ISNA(VLOOKUP(K30,'Efficiency Lookup'!$D$2:$G$35,3,FALSE)),0,VLOOKUP(K30,'Efficiency Lookup'!$D$2:$G$35,3,FALSE))</f>
        <v>0</v>
      </c>
      <c r="AH30" s="139">
        <f>S30*AG30</f>
        <v>0</v>
      </c>
      <c r="AI30" s="649">
        <f>IF(U30="RR",IF((0.0308*(W30^5)-0.2562*(W30^4)+0.8634*(W30^3)-1.5285*(W30^2)+1.501*W30-0.013)&gt;0.7,0.7,IF((0.0308*(W30^5)-0.2562*(W30^4)+0.8634*(W30^3)-1.5285*(W30^2)+1.501*W30-0.013)&lt;0,0,(0.0308*(W30^5)-0.2562*(W30^4)+0.8634*(W30^3)-1.5285*(W30^2)+1.501*W30-0.013))),IF((0.0152*(W30^5)-0.131*(W30^4)+0.4581*(W30^3)-0.8418*(W30^2)+0.8536*W30-0.0046)&gt;0.65,0.65,IF((0.0152*(W30^5)-0.131*(W30^4)+0.4581*(W30^3)-0.8418*(W30^2)+0.8536*W30-0.0046)&lt;0,0,(0.0152*(W30^5)-0.131*(W30^4)+0.4581*(W30^3)-0.8418*(W30^2)+0.8536*W30-0.0046))))</f>
        <v>0.51133598934538982</v>
      </c>
      <c r="AJ30" s="1022">
        <f>S30*AI30</f>
        <v>5.7061690914175944</v>
      </c>
      <c r="AK30" s="416">
        <f t="shared" si="1"/>
        <v>5.7061690914175944</v>
      </c>
      <c r="AL30" s="634">
        <f>IF(ISNA(VLOOKUP(K30,'Efficiency Lookup'!$D$2:$G$35,4,FALSE)),0,VLOOKUP(K30,'Efficiency Lookup'!$D$2:$G$35,4,FALSE))</f>
        <v>0</v>
      </c>
      <c r="AM30" s="139">
        <f>T30*AL30</f>
        <v>0</v>
      </c>
      <c r="AN30" s="649">
        <f>IF(U30="RR",IF((0.0326*(W30^5)-0.2806*(W30^4)+0.9816*(W30^3)-1.8039*(W30^2)+1.8292*W30-0.0098)&gt;0.85,0.85,IF((0.0326*(W30^5)-0.2806*(W30^4)+0.9816*(W30^3)-1.8039*(W30^2)+1.8292*W30-0.0098)&lt;0,0,(0.0326*(W30^5)-0.2806*(W30^4)+0.9816*(W30^3)-1.8039*(W30^2)+1.8292*W30-0.0098))),IF((0.0304*(W30^5)-0.2619*(W30^4)+0.9161*(W30^3)-1.6837*(W30^2)+1.7072*W30-0.0091)&gt;0.8,0.8,IF((0.0304*(W30^5)-0.2619*(W30^4)+0.9161*(W30^3)-1.6837*(W30^2)+1.7072*W30-0.0091)&lt;0,0,(0.0304*(W30^5)-0.2619*(W30^4)+0.9161*(W30^3)-1.6837*(W30^2)+1.7072*W30-0.0091))))</f>
        <v>0.63969656911056116</v>
      </c>
      <c r="AO30" s="1022">
        <f>T30*AN30</f>
        <v>339.0698401536103</v>
      </c>
      <c r="AP30" s="647">
        <f>IF(AK30=AH30,AM30,AO30)</f>
        <v>339.0698401536103</v>
      </c>
      <c r="AQ30" s="789">
        <f>IF(AF30&lt;0,0,AF30)</f>
        <v>0.71585203313415702</v>
      </c>
      <c r="AR30" s="789">
        <f>IF(AK30&lt;0,0,AK30)</f>
        <v>5.7061690914175944</v>
      </c>
      <c r="AS30" s="790">
        <f>IF(AP30&lt;0,0,AP30)</f>
        <v>339.0698401536103</v>
      </c>
    </row>
    <row r="31" spans="1:45" ht="30" x14ac:dyDescent="0.25">
      <c r="A31" s="261" t="s">
        <v>639</v>
      </c>
      <c r="B31" s="510">
        <v>38.099254000000002</v>
      </c>
      <c r="C31" s="510">
        <v>-78.464304999999996</v>
      </c>
      <c r="D31" s="510" t="s">
        <v>296</v>
      </c>
      <c r="E31" s="511">
        <v>270.18</v>
      </c>
      <c r="F31" s="669">
        <v>39038</v>
      </c>
      <c r="G31" s="510" t="s">
        <v>642</v>
      </c>
      <c r="H31" s="511" t="s">
        <v>643</v>
      </c>
      <c r="I31" s="511"/>
      <c r="J31" s="511"/>
      <c r="K31" s="511"/>
      <c r="L31" s="261"/>
      <c r="M31" s="514">
        <f>N31+O31+P31</f>
        <v>0.67937275129300001</v>
      </c>
      <c r="N31" s="672">
        <v>0.67937275129300001</v>
      </c>
      <c r="O31" s="514">
        <v>0</v>
      </c>
      <c r="P31" s="514">
        <v>0</v>
      </c>
      <c r="Q31" s="673">
        <f>+N31/M31</f>
        <v>1</v>
      </c>
      <c r="R31" s="674">
        <f>IF(L30="TT",(1.76*N31+0.5*O31+0.13*P31)-AF30,1.76*N31+0.5*O31+0.13*P31)</f>
        <v>1.1956960422756799</v>
      </c>
      <c r="S31" s="674">
        <f>IF(L30="TT",(M31*9.39+N31*6.99+O31*2.36)-AK30,M31*9.39+N31*6.99+O31*2.36)</f>
        <v>11.12812566617934</v>
      </c>
      <c r="T31" s="674">
        <f>IF(L30="TT",(M31*676.94+N31*101.08+O31*77.38)-AP30,M31*676.94+N31*101.08+O31*77.38)</f>
        <v>528.56558796097988</v>
      </c>
      <c r="U31" s="1022" t="s">
        <v>285</v>
      </c>
      <c r="V31" s="514">
        <v>1604.17</v>
      </c>
      <c r="W31" s="675">
        <f>IF(V31="NA", 0, (V31)*12/N31/43560)</f>
        <v>0.65048253606251294</v>
      </c>
      <c r="X31" s="634" t="str">
        <f t="shared" si="0"/>
        <v>NA</v>
      </c>
      <c r="Y31" s="676">
        <f>IF(X31="NA",0,R31*X31)</f>
        <v>0</v>
      </c>
      <c r="Z31" s="635">
        <f>IF(ISNA(VLOOKUP(J31,'Efficiency Lookup'!$B$2:$C$38,2,FALSE)),0,(VLOOKUP(J31,'Efficiency Lookup'!$B$2:$C$38,2,FALSE)))</f>
        <v>0</v>
      </c>
      <c r="AA31" s="139">
        <f>R31*Z31</f>
        <v>0</v>
      </c>
      <c r="AB31" s="635">
        <f>IF(ISNA(VLOOKUP(K31,'Efficiency Lookup'!$D$2:$E$35,2,FALSE)),0,VLOOKUP(K31,'Efficiency Lookup'!$D$2:$E$35,2,FALSE))</f>
        <v>0</v>
      </c>
      <c r="AC31" s="139">
        <f>R31*AB31</f>
        <v>0</v>
      </c>
      <c r="AD31" s="649">
        <f>IF(U31="RR",IF((0.0304*(W31^5)-0.2619*(W31^4)+0.9161*(W31^3)-1.6837*(W31^2)+1.7072*W31-0.0091)&gt;0.85,0.85,IF((0.0304*(W31^5)-0.2619*(W31^4)+0.9161*(W31^3)-1.6837*(W31^2)+1.7072*W31-0.0091)&lt;0,0,(0.0304*(W31^5)-0.2619*(W31^4)+0.9161*(W31^3)-1.6837*(W31^2)+1.7072*W31-0.0091))),IF((0.0239*(W31^5)-0.2058*(W31^4)+0.7198*(W31^3)-1.3229*(W31^2)+1.3414*W31-0.0072)&gt;0.65,0.65,IF((0.0239*(W31^5)-0.2058*(W31^4)+0.7198*(W31^3)-1.3229*(W31^2)+1.3414*W31-0.0072)&lt;0,0,(0.0239*(W31^5)-0.2058*(W31^4)+0.7198*(W31^3)-1.3229*(W31^2)+1.3414*W31-0.0072))))</f>
        <v>0.59777927211934567</v>
      </c>
      <c r="AE31" s="1022">
        <f>R31*AD31</f>
        <v>0.7147623098275383</v>
      </c>
      <c r="AF31" s="516">
        <f>MAX(Y31,AA31,AC31,AE31)</f>
        <v>0.7147623098275383</v>
      </c>
      <c r="AG31" s="634">
        <f>IF(ISNA(VLOOKUP(K31,'Efficiency Lookup'!$D$2:$G$35,3,FALSE)),0,VLOOKUP(K31,'Efficiency Lookup'!$D$2:$G$35,3,FALSE))</f>
        <v>0</v>
      </c>
      <c r="AH31" s="139">
        <f>S31*AG31</f>
        <v>0</v>
      </c>
      <c r="AI31" s="649">
        <f>IF(U31="RR",IF((0.0308*(W31^5)-0.2562*(W31^4)+0.8634*(W31^3)-1.5285*(W31^2)+1.501*W31-0.013)&gt;0.7,0.7,IF((0.0308*(W31^5)-0.2562*(W31^4)+0.8634*(W31^3)-1.5285*(W31^2)+1.501*W31-0.013)&lt;0,0,(0.0308*(W31^5)-0.2562*(W31^4)+0.8634*(W31^3)-1.5285*(W31^2)+1.501*W31-0.013))),IF((0.0152*(W31^5)-0.131*(W31^4)+0.4581*(W31^3)-0.8418*(W31^2)+0.8536*W31-0.0046)&gt;0.65,0.65,IF((0.0152*(W31^5)-0.131*(W31^4)+0.4581*(W31^3)-0.8418*(W31^2)+0.8536*W31-0.0046)&lt;0,0,(0.0152*(W31^5)-0.131*(W31^4)+0.4581*(W31^3)-0.8418*(W31^2)+0.8536*W31-0.0046))))</f>
        <v>0.5119812667992284</v>
      </c>
      <c r="AJ31" s="1022">
        <f>S31*AI31</f>
        <v>5.6973918756715056</v>
      </c>
      <c r="AK31" s="416">
        <f t="shared" si="1"/>
        <v>5.6973918756715056</v>
      </c>
      <c r="AL31" s="634">
        <f>IF(ISNA(VLOOKUP(K31,'Efficiency Lookup'!$D$2:$G$35,4,FALSE)),0,VLOOKUP(K31,'Efficiency Lookup'!$D$2:$G$35,4,FALSE))</f>
        <v>0</v>
      </c>
      <c r="AM31" s="139">
        <f>T31*AL31</f>
        <v>0</v>
      </c>
      <c r="AN31" s="649">
        <f>IF(U31="RR",IF((0.0326*(W31^5)-0.2806*(W31^4)+0.9816*(W31^3)-1.8039*(W31^2)+1.8292*W31-0.0098)&gt;0.85,0.85,IF((0.0326*(W31^5)-0.2806*(W31^4)+0.9816*(W31^3)-1.8039*(W31^2)+1.8292*W31-0.0098)&lt;0,0,(0.0326*(W31^5)-0.2806*(W31^4)+0.9816*(W31^3)-1.8039*(W31^2)+1.8292*W31-0.0098))),IF((0.0304*(W31^5)-0.2619*(W31^4)+0.9161*(W31^3)-1.6837*(W31^2)+1.7072*W31-0.0091)&gt;0.8,0.8,IF((0.0304*(W31^5)-0.2619*(W31^4)+0.9161*(W31^3)-1.6837*(W31^2)+1.7072*W31-0.0091)&lt;0,0,(0.0304*(W31^5)-0.2619*(W31^4)+0.9161*(W31^3)-1.6837*(W31^2)+1.7072*W31-0.0091))))</f>
        <v>0.64051446312861049</v>
      </c>
      <c r="AO31" s="1022">
        <f>T31*AN31</f>
        <v>338.55390380108537</v>
      </c>
      <c r="AP31" s="647">
        <f>IF(AK31=AH31,AM31,AO31)</f>
        <v>338.55390380108537</v>
      </c>
      <c r="AQ31" s="789">
        <f>IF(AF31&lt;0,0,AF31)</f>
        <v>0.7147623098275383</v>
      </c>
      <c r="AR31" s="789">
        <f>IF(AK31&lt;0,0,AK31)</f>
        <v>5.6973918756715056</v>
      </c>
      <c r="AS31" s="790">
        <f>IF(AP31&lt;0,0,AP31)</f>
        <v>338.55390380108537</v>
      </c>
    </row>
    <row r="32" spans="1:45" x14ac:dyDescent="0.25">
      <c r="A32" s="261"/>
      <c r="B32" s="510" t="s">
        <v>297</v>
      </c>
      <c r="C32" s="510" t="s">
        <v>297</v>
      </c>
      <c r="D32" s="510" t="s">
        <v>297</v>
      </c>
      <c r="E32" s="511"/>
      <c r="F32" s="705"/>
      <c r="G32" s="510"/>
      <c r="H32" s="511"/>
      <c r="I32" s="261" t="str">
        <f t="shared" si="2"/>
        <v/>
      </c>
      <c r="J32" s="511"/>
      <c r="K32" s="511"/>
      <c r="L32" s="510"/>
      <c r="M32" s="510"/>
      <c r="N32" s="672"/>
      <c r="O32" s="514"/>
      <c r="P32" s="514" t="s">
        <v>297</v>
      </c>
      <c r="Q32" s="688"/>
      <c r="R32" s="674"/>
      <c r="S32" s="674"/>
      <c r="T32" s="674"/>
      <c r="U32" s="1022"/>
      <c r="V32" s="514"/>
      <c r="W32" s="675"/>
      <c r="X32" s="636" t="str">
        <f t="shared" si="0"/>
        <v/>
      </c>
      <c r="Y32" s="706"/>
      <c r="Z32" s="640"/>
      <c r="AA32" s="1022"/>
      <c r="AB32" s="637"/>
      <c r="AC32" s="637"/>
      <c r="AD32" s="637"/>
      <c r="AE32" s="139"/>
      <c r="AF32" s="642"/>
      <c r="AG32" s="583"/>
      <c r="AH32" s="139"/>
      <c r="AI32" s="637"/>
      <c r="AJ32" s="139"/>
      <c r="AK32" s="416" t="str">
        <f t="shared" si="1"/>
        <v/>
      </c>
      <c r="AL32" s="642"/>
      <c r="AM32" s="637"/>
      <c r="AN32" s="637"/>
      <c r="AO32" s="139"/>
      <c r="AP32" s="647"/>
      <c r="AQ32" s="789"/>
      <c r="AR32" s="789"/>
      <c r="AS32" s="790"/>
    </row>
    <row r="33" spans="1:45" x14ac:dyDescent="0.25">
      <c r="A33" s="628"/>
      <c r="B33" s="668" t="s">
        <v>297</v>
      </c>
      <c r="C33" s="668" t="s">
        <v>297</v>
      </c>
      <c r="D33" s="668" t="s">
        <v>297</v>
      </c>
      <c r="E33" s="710"/>
      <c r="F33" s="711"/>
      <c r="G33" s="668"/>
      <c r="H33" s="712"/>
      <c r="I33" s="712" t="str">
        <f t="shared" si="2"/>
        <v/>
      </c>
      <c r="J33" s="712"/>
      <c r="K33" s="712"/>
      <c r="L33" s="712"/>
      <c r="M33" s="712"/>
      <c r="N33" s="712"/>
      <c r="O33" s="712"/>
      <c r="P33" s="712"/>
      <c r="Q33" s="712"/>
      <c r="R33" s="712"/>
      <c r="S33" s="712"/>
      <c r="T33" s="712"/>
      <c r="U33" s="712"/>
      <c r="V33" s="712"/>
      <c r="W33" s="712"/>
      <c r="X33" s="760" t="str">
        <f t="shared" si="0"/>
        <v/>
      </c>
      <c r="Y33" s="713"/>
      <c r="Z33" s="712"/>
      <c r="AA33" s="712"/>
      <c r="AB33" s="638"/>
      <c r="AC33" s="638"/>
      <c r="AD33" s="638"/>
      <c r="AE33" s="629"/>
      <c r="AF33" s="666"/>
      <c r="AG33" s="666"/>
      <c r="AH33" s="629"/>
      <c r="AI33" s="638"/>
      <c r="AJ33" s="629"/>
      <c r="AK33" s="639" t="str">
        <f t="shared" si="1"/>
        <v/>
      </c>
      <c r="AL33" s="644"/>
      <c r="AM33" s="638"/>
      <c r="AN33" s="638"/>
      <c r="AO33" s="629"/>
      <c r="AP33" s="648"/>
      <c r="AQ33" s="791"/>
      <c r="AR33" s="791"/>
      <c r="AS33" s="792"/>
    </row>
    <row r="34" spans="1:45" ht="14.45" customHeight="1" x14ac:dyDescent="0.25">
      <c r="A34" s="261"/>
      <c r="B34" s="510" t="s">
        <v>297</v>
      </c>
      <c r="C34" s="510" t="s">
        <v>297</v>
      </c>
      <c r="D34" s="510" t="s">
        <v>297</v>
      </c>
      <c r="E34" s="704"/>
      <c r="F34" s="705"/>
      <c r="G34" s="510"/>
      <c r="H34" s="511"/>
      <c r="I34" s="261" t="str">
        <f t="shared" si="2"/>
        <v/>
      </c>
      <c r="J34" s="511"/>
      <c r="K34" s="511"/>
      <c r="L34" s="510"/>
      <c r="M34" s="510"/>
      <c r="N34" s="672"/>
      <c r="O34" s="514"/>
      <c r="P34" s="514" t="s">
        <v>297</v>
      </c>
      <c r="Q34" s="688"/>
      <c r="R34" s="674"/>
      <c r="S34" s="674"/>
      <c r="T34" s="674"/>
      <c r="U34" s="1022"/>
      <c r="V34" s="514"/>
      <c r="W34" s="675"/>
      <c r="X34" s="636" t="str">
        <f t="shared" si="0"/>
        <v/>
      </c>
      <c r="Y34" s="706"/>
      <c r="Z34" s="640"/>
      <c r="AA34" s="1022"/>
      <c r="AB34" s="637"/>
      <c r="AC34" s="637"/>
      <c r="AD34" s="637"/>
      <c r="AE34" s="139"/>
      <c r="AF34" s="642"/>
      <c r="AG34" s="583"/>
      <c r="AH34" s="139"/>
      <c r="AI34" s="637"/>
      <c r="AJ34" s="139"/>
      <c r="AK34" s="416" t="str">
        <f t="shared" si="1"/>
        <v/>
      </c>
      <c r="AL34" s="642"/>
      <c r="AM34" s="637"/>
      <c r="AN34" s="637"/>
      <c r="AO34" s="139"/>
      <c r="AP34" s="647"/>
      <c r="AQ34" s="789"/>
      <c r="AR34" s="789"/>
      <c r="AS34" s="790"/>
    </row>
    <row r="35" spans="1:45" x14ac:dyDescent="0.25">
      <c r="A35" s="261" t="s">
        <v>644</v>
      </c>
      <c r="B35" s="510">
        <v>38.031824</v>
      </c>
      <c r="C35" s="510">
        <v>-78.449438999999998</v>
      </c>
      <c r="D35" s="510" t="s">
        <v>286</v>
      </c>
      <c r="E35" s="511">
        <v>134.01</v>
      </c>
      <c r="F35" s="669">
        <v>40976</v>
      </c>
      <c r="G35" s="510" t="s">
        <v>293</v>
      </c>
      <c r="H35" s="670"/>
      <c r="I35" s="511"/>
      <c r="J35" s="511"/>
      <c r="K35" s="511" t="s">
        <v>615</v>
      </c>
      <c r="L35" s="671"/>
      <c r="M35" s="671">
        <f>N35+O35+P35</f>
        <v>1.4806493719928</v>
      </c>
      <c r="N35" s="672">
        <v>1.2007929452499999</v>
      </c>
      <c r="O35" s="514">
        <v>0.17663128501879999</v>
      </c>
      <c r="P35" s="514">
        <v>0.10322514172400001</v>
      </c>
      <c r="Q35" s="673">
        <f>+N35/M35</f>
        <v>0.8109907503853242</v>
      </c>
      <c r="R35" s="674">
        <f>IF(L34="TT",(1.76*N35+0.5*O35+0.13*P35)-AF34,1.76*N35+0.5*O35+0.13*P35)</f>
        <v>2.2151304945735202</v>
      </c>
      <c r="S35" s="674">
        <f>IF(L34="TT",(M35*9.39+N35*6.99+O35*2.36)-AK34,M35*9.39+N35*6.99+O35*2.36)</f>
        <v>22.713690122954258</v>
      </c>
      <c r="T35" s="674">
        <f>IF(L34="TT",(M35*676.94+N35*101.08+O35*77.38)-AP34,M35*676.94+N35*101.08+O35*77.38)</f>
        <v>1137.354665617431</v>
      </c>
      <c r="U35" s="1022" t="s">
        <v>295</v>
      </c>
      <c r="V35" s="514" t="s">
        <v>645</v>
      </c>
      <c r="W35" s="675">
        <f>IF(V35="NA", 0, (V35)*12/N35/43560)</f>
        <v>0</v>
      </c>
      <c r="X35" s="634" t="str">
        <f t="shared" si="0"/>
        <v>NA</v>
      </c>
      <c r="Y35" s="676">
        <f>IF(X35="NA",0,R35*X35)</f>
        <v>0</v>
      </c>
      <c r="Z35" s="635">
        <f>IF(ISNA(VLOOKUP(J35,'Efficiency Lookup'!$B$2:$C$38,2,FALSE)),0,(VLOOKUP(J35,'Efficiency Lookup'!$B$2:$C$38,2,FALSE)))</f>
        <v>0</v>
      </c>
      <c r="AA35" s="139">
        <f>R35*Z35</f>
        <v>0</v>
      </c>
      <c r="AB35" s="1061">
        <f>IF(ISNA(VLOOKUP(K35,'Efficiency Lookup'!$D$2:$E$35,2,FALSE)),0,VLOOKUP(K35,'Efficiency Lookup'!$D$2:$E$35,2,FALSE))</f>
        <v>0.1</v>
      </c>
      <c r="AC35" s="1005">
        <f>R35*AB35</f>
        <v>0.22151304945735203</v>
      </c>
      <c r="AD35" s="637">
        <f>IF(U35="RR",IF((0.0304*(W35^5)-0.2619*(W35^4)+0.9161*(W35^3)-1.6837*(W35^2)+1.7072*W35-0.0091)&gt;0.85,0.85,IF((0.0304*(W35^5)-0.2619*(W35^4)+0.9161*(W35^3)-1.6837*(W35^2)+1.7072*W35-0.0091)&lt;0,0,(0.0304*(W35^5)-0.2619*(W35^4)+0.9161*(W35^3)-1.6837*(W35^2)+1.7072*W35-0.0091))),IF((0.0239*(W35^5)-0.2058*(W35^4)+0.7198*(W35^3)-1.3229*(W35^2)+1.3414*W35-0.0072)&gt;0.65,0.65,IF((0.0239*(W35^5)-0.2058*(W35^4)+0.7198*(W35^3)-1.3229*(W35^2)+1.3414*W35-0.0072)&lt;0,0,(0.0239*(W35^5)-0.2058*(W35^4)+0.7198*(W35^3)-1.3229*(W35^2)+1.3414*W35-0.0072))))</f>
        <v>0</v>
      </c>
      <c r="AE35" s="139">
        <f>R35*AD35</f>
        <v>0</v>
      </c>
      <c r="AF35" s="516">
        <f>MAX(Y35,AA35,AC35,AE35)</f>
        <v>0.22151304945735203</v>
      </c>
      <c r="AG35" s="641">
        <f>IF(ISNA(VLOOKUP(K35,'Efficiency Lookup'!$D$2:$G$35,3,FALSE)),0,VLOOKUP(K35,'Efficiency Lookup'!$D$2:$G$35,3,FALSE))</f>
        <v>0.05</v>
      </c>
      <c r="AH35" s="1005">
        <f>S35*AG35</f>
        <v>1.135684506147713</v>
      </c>
      <c r="AI35" s="637">
        <f>IF(U35="RR",IF((0.0308*(W35^5)-0.2562*(W35^4)+0.8634*(W35^3)-1.5285*(W35^2)+1.501*W35-0.013)&gt;0.7,0.7,IF((0.0308*(W35^5)-0.2562*(W35^4)+0.8634*(W35^3)-1.5285*(W35^2)+1.501*W35-0.013)&lt;0,0,(0.0308*(W35^5)-0.2562*(W35^4)+0.8634*(W35^3)-1.5285*(W35^2)+1.501*W35-0.013))),IF((0.0152*(W35^5)-0.131*(W35^4)+0.4581*(W35^3)-0.8418*(W35^2)+0.8536*W35-0.0046)&gt;0.65,0.65,IF((0.0152*(W35^5)-0.131*(W35^4)+0.4581*(W35^3)-0.8418*(W35^2)+0.8536*W35-0.0046)&lt;0,0,(0.0152*(W35^5)-0.131*(W35^4)+0.4581*(W35^3)-0.8418*(W35^2)+0.8536*W35-0.0046))))</f>
        <v>0</v>
      </c>
      <c r="AJ35" s="139">
        <f>S35*AI35</f>
        <v>0</v>
      </c>
      <c r="AK35" s="416">
        <f t="shared" si="1"/>
        <v>1.135684506147713</v>
      </c>
      <c r="AL35" s="641">
        <f>IF(ISNA(VLOOKUP(K35,'Efficiency Lookup'!$D$2:$G$35,4,FALSE)),0,VLOOKUP(K35,'Efficiency Lookup'!$D$2:$G$35,4,FALSE))</f>
        <v>0.1</v>
      </c>
      <c r="AM35" s="1005">
        <f>T35*AL35</f>
        <v>113.73546656174311</v>
      </c>
      <c r="AN35" s="637">
        <f>IF(U35="RR",IF((0.0326*(W35^5)-0.2806*(W35^4)+0.9816*(W35^3)-1.8039*(W35^2)+1.8292*W35-0.0098)&gt;0.85,0.85,IF((0.0326*(W35^5)-0.2806*(W35^4)+0.9816*(W35^3)-1.8039*(W35^2)+1.8292*W35-0.0098)&lt;0,0,(0.0326*(W35^5)-0.2806*(W35^4)+0.9816*(W35^3)-1.8039*(W35^2)+1.8292*W35-0.0098))),IF((0.0304*(W35^5)-0.2619*(W35^4)+0.9161*(W35^3)-1.6837*(W35^2)+1.7072*W35-0.0091)&gt;0.8,0.8,IF((0.0304*(W35^5)-0.2619*(W35^4)+0.9161*(W35^3)-1.6837*(W35^2)+1.7072*W35-0.0091)&lt;0,0,(0.0304*(W35^5)-0.2619*(W35^4)+0.9161*(W35^3)-1.6837*(W35^2)+1.7072*W35-0.0091))))</f>
        <v>0</v>
      </c>
      <c r="AO35" s="139">
        <f>T35*AN35</f>
        <v>0</v>
      </c>
      <c r="AP35" s="647">
        <f>IF(AK35=AH35,AM35,AO35)</f>
        <v>113.73546656174311</v>
      </c>
      <c r="AQ35" s="789">
        <f>IF(AF35&lt;0,0,AF35)</f>
        <v>0.22151304945735203</v>
      </c>
      <c r="AR35" s="789">
        <f>IF(AK35&lt;0,0,AK35)</f>
        <v>1.135684506147713</v>
      </c>
      <c r="AS35" s="790">
        <f>IF(AP35&lt;0,0,AP35)</f>
        <v>113.73546656174311</v>
      </c>
    </row>
    <row r="36" spans="1:45" x14ac:dyDescent="0.25">
      <c r="A36" s="261"/>
      <c r="B36" s="510" t="s">
        <v>297</v>
      </c>
      <c r="C36" s="510" t="s">
        <v>297</v>
      </c>
      <c r="D36" s="510" t="s">
        <v>297</v>
      </c>
      <c r="E36" s="511"/>
      <c r="F36" s="705"/>
      <c r="G36" s="510"/>
      <c r="H36" s="511"/>
      <c r="I36" s="261" t="str">
        <f t="shared" si="2"/>
        <v/>
      </c>
      <c r="J36" s="511"/>
      <c r="K36" s="511"/>
      <c r="L36" s="510"/>
      <c r="M36" s="510"/>
      <c r="N36" s="672"/>
      <c r="O36" s="514"/>
      <c r="P36" s="514" t="s">
        <v>297</v>
      </c>
      <c r="Q36" s="688"/>
      <c r="R36" s="674"/>
      <c r="S36" s="674"/>
      <c r="T36" s="674"/>
      <c r="U36" s="1022"/>
      <c r="V36" s="514"/>
      <c r="W36" s="675"/>
      <c r="X36" s="636" t="str">
        <f t="shared" si="0"/>
        <v/>
      </c>
      <c r="Y36" s="706"/>
      <c r="Z36" s="640"/>
      <c r="AA36" s="1022"/>
      <c r="AB36" s="637"/>
      <c r="AC36" s="637"/>
      <c r="AD36" s="637"/>
      <c r="AE36" s="139"/>
      <c r="AF36" s="642"/>
      <c r="AG36" s="583"/>
      <c r="AH36" s="139"/>
      <c r="AI36" s="637"/>
      <c r="AJ36" s="139"/>
      <c r="AK36" s="416" t="str">
        <f t="shared" si="1"/>
        <v/>
      </c>
      <c r="AL36" s="642"/>
      <c r="AM36" s="637"/>
      <c r="AN36" s="637"/>
      <c r="AO36" s="139"/>
      <c r="AP36" s="647"/>
      <c r="AQ36" s="789"/>
      <c r="AR36" s="789"/>
      <c r="AS36" s="790"/>
    </row>
    <row r="37" spans="1:45" x14ac:dyDescent="0.25">
      <c r="A37" s="628"/>
      <c r="B37" s="668" t="s">
        <v>297</v>
      </c>
      <c r="C37" s="668" t="s">
        <v>297</v>
      </c>
      <c r="D37" s="668" t="s">
        <v>297</v>
      </c>
      <c r="E37" s="710"/>
      <c r="F37" s="711"/>
      <c r="G37" s="668"/>
      <c r="H37" s="712"/>
      <c r="I37" s="712" t="str">
        <f t="shared" si="2"/>
        <v/>
      </c>
      <c r="J37" s="712"/>
      <c r="K37" s="712"/>
      <c r="L37" s="712"/>
      <c r="M37" s="712"/>
      <c r="N37" s="712"/>
      <c r="O37" s="712"/>
      <c r="P37" s="712"/>
      <c r="Q37" s="712"/>
      <c r="R37" s="712"/>
      <c r="S37" s="712"/>
      <c r="T37" s="712"/>
      <c r="U37" s="712"/>
      <c r="V37" s="712"/>
      <c r="W37" s="712"/>
      <c r="X37" s="760" t="str">
        <f t="shared" si="0"/>
        <v/>
      </c>
      <c r="Y37" s="713"/>
      <c r="Z37" s="712"/>
      <c r="AA37" s="712"/>
      <c r="AB37" s="638"/>
      <c r="AC37" s="638"/>
      <c r="AD37" s="638"/>
      <c r="AE37" s="629"/>
      <c r="AF37" s="666"/>
      <c r="AG37" s="666"/>
      <c r="AH37" s="629"/>
      <c r="AI37" s="638"/>
      <c r="AJ37" s="629"/>
      <c r="AK37" s="639" t="str">
        <f t="shared" si="1"/>
        <v/>
      </c>
      <c r="AL37" s="644"/>
      <c r="AM37" s="638"/>
      <c r="AN37" s="638"/>
      <c r="AO37" s="629"/>
      <c r="AP37" s="648"/>
      <c r="AQ37" s="791"/>
      <c r="AR37" s="791"/>
      <c r="AS37" s="792"/>
    </row>
    <row r="38" spans="1:45" ht="14.45" customHeight="1" x14ac:dyDescent="0.25">
      <c r="A38" s="261"/>
      <c r="B38" s="510" t="s">
        <v>297</v>
      </c>
      <c r="C38" s="510" t="s">
        <v>297</v>
      </c>
      <c r="D38" s="510" t="s">
        <v>297</v>
      </c>
      <c r="E38" s="704"/>
      <c r="F38" s="705"/>
      <c r="G38" s="510"/>
      <c r="H38" s="511"/>
      <c r="I38" s="261" t="str">
        <f t="shared" si="2"/>
        <v/>
      </c>
      <c r="J38" s="511"/>
      <c r="K38" s="511"/>
      <c r="L38" s="510"/>
      <c r="M38" s="510"/>
      <c r="N38" s="672"/>
      <c r="O38" s="514"/>
      <c r="P38" s="514" t="s">
        <v>297</v>
      </c>
      <c r="Q38" s="688"/>
      <c r="R38" s="674"/>
      <c r="S38" s="674"/>
      <c r="T38" s="674"/>
      <c r="U38" s="1022"/>
      <c r="V38" s="514"/>
      <c r="W38" s="675"/>
      <c r="X38" s="636" t="str">
        <f t="shared" si="0"/>
        <v/>
      </c>
      <c r="Y38" s="706"/>
      <c r="Z38" s="640"/>
      <c r="AA38" s="1022"/>
      <c r="AB38" s="637"/>
      <c r="AC38" s="637"/>
      <c r="AD38" s="637"/>
      <c r="AE38" s="139"/>
      <c r="AF38" s="642"/>
      <c r="AG38" s="583"/>
      <c r="AH38" s="139"/>
      <c r="AI38" s="637"/>
      <c r="AJ38" s="139"/>
      <c r="AK38" s="416" t="str">
        <f t="shared" si="1"/>
        <v/>
      </c>
      <c r="AL38" s="642"/>
      <c r="AM38" s="637"/>
      <c r="AN38" s="637"/>
      <c r="AO38" s="139"/>
      <c r="AP38" s="647"/>
      <c r="AQ38" s="789"/>
      <c r="AR38" s="789"/>
      <c r="AS38" s="790"/>
    </row>
    <row r="39" spans="1:45" ht="30" x14ac:dyDescent="0.25">
      <c r="A39" s="261" t="s">
        <v>646</v>
      </c>
      <c r="B39" s="510">
        <v>37.996975999999997</v>
      </c>
      <c r="C39" s="510">
        <v>-78.499988000000002</v>
      </c>
      <c r="D39" s="510" t="s">
        <v>647</v>
      </c>
      <c r="E39" s="511">
        <v>47.04</v>
      </c>
      <c r="F39" s="669">
        <v>40802</v>
      </c>
      <c r="G39" s="510" t="s">
        <v>281</v>
      </c>
      <c r="H39" s="670"/>
      <c r="I39" s="511"/>
      <c r="J39" s="511" t="s">
        <v>343</v>
      </c>
      <c r="K39" s="511" t="s">
        <v>284</v>
      </c>
      <c r="L39" s="671"/>
      <c r="M39" s="671">
        <f>N39+O39+P39</f>
        <v>0.99073610517800004</v>
      </c>
      <c r="N39" s="672">
        <v>0.87165674508900004</v>
      </c>
      <c r="O39" s="514">
        <v>0.119079360089</v>
      </c>
      <c r="P39" s="514">
        <v>0</v>
      </c>
      <c r="Q39" s="673">
        <f>+N39/M39</f>
        <v>0.87980718632677102</v>
      </c>
      <c r="R39" s="674">
        <f>IF(L38="TT",(1.76*N39+0.5*O39+0.13*P39)-AF38,1.76*N39+0.5*O39+0.13*P39)</f>
        <v>1.5936555514011401</v>
      </c>
      <c r="S39" s="674">
        <f>IF(L38="TT",(M39*9.39+N39*6.99+O39*2.36)-AK38,M39*9.39+N39*6.99+O39*2.36)</f>
        <v>15.676919965603572</v>
      </c>
      <c r="T39" s="674">
        <f>IF(L38="TT",(M39*676.94+N39*101.08+O39*77.38)-AP38,M39*676.94+N39*101.08+O39*77.38)</f>
        <v>767.99032371647831</v>
      </c>
      <c r="U39" s="1022" t="s">
        <v>295</v>
      </c>
      <c r="V39" s="514" t="s">
        <v>645</v>
      </c>
      <c r="W39" s="675">
        <f>IF(V39="NA", 0, (V39)*12/N39/43560)</f>
        <v>0</v>
      </c>
      <c r="X39" s="634" t="str">
        <f t="shared" si="0"/>
        <v>NA</v>
      </c>
      <c r="Y39" s="676">
        <f>IF(X39="NA",0,R39*X39)</f>
        <v>0</v>
      </c>
      <c r="Z39" s="1061">
        <f>IF(ISNA(VLOOKUP(J39,'Efficiency Lookup'!$B$2:$C$38,2,FALSE)),0,(VLOOKUP(J39,'Efficiency Lookup'!$B$2:$C$38,2,FALSE)))</f>
        <v>0.5</v>
      </c>
      <c r="AA39" s="1005">
        <f>R39*Z39</f>
        <v>0.79682777570057006</v>
      </c>
      <c r="AB39" s="635">
        <f>IF(ISNA(VLOOKUP(K39,'Efficiency Lookup'!$D$2:$E$35,2,FALSE)),0,VLOOKUP(K39,'Efficiency Lookup'!$D$2:$E$35,2,FALSE))</f>
        <v>0.45</v>
      </c>
      <c r="AC39" s="139">
        <f>R39*AB39</f>
        <v>0.71714499813051302</v>
      </c>
      <c r="AD39" s="637">
        <f>IF(U39="RR",IF((0.0304*(W39^5)-0.2619*(W39^4)+0.9161*(W39^3)-1.6837*(W39^2)+1.7072*W39-0.0091)&gt;0.85,0.85,IF((0.0304*(W39^5)-0.2619*(W39^4)+0.9161*(W39^3)-1.6837*(W39^2)+1.7072*W39-0.0091)&lt;0,0,(0.0304*(W39^5)-0.2619*(W39^4)+0.9161*(W39^3)-1.6837*(W39^2)+1.7072*W39-0.0091))),IF((0.0239*(W39^5)-0.2058*(W39^4)+0.7198*(W39^3)-1.3229*(W39^2)+1.3414*W39-0.0072)&gt;0.65,0.65,IF((0.0239*(W39^5)-0.2058*(W39^4)+0.7198*(W39^3)-1.3229*(W39^2)+1.3414*W39-0.0072)&lt;0,0,(0.0239*(W39^5)-0.2058*(W39^4)+0.7198*(W39^3)-1.3229*(W39^2)+1.3414*W39-0.0072))))</f>
        <v>0</v>
      </c>
      <c r="AE39" s="139">
        <f>R39*AD39</f>
        <v>0</v>
      </c>
      <c r="AF39" s="516">
        <f>MAX(Y39,AA39,AC39,AE39)</f>
        <v>0.79682777570057006</v>
      </c>
      <c r="AG39" s="641">
        <f>IF(ISNA(VLOOKUP(K39,'Efficiency Lookup'!$D$2:$G$35,3,FALSE)),0,VLOOKUP(K39,'Efficiency Lookup'!$D$2:$G$35,3,FALSE))</f>
        <v>0.25</v>
      </c>
      <c r="AH39" s="1005">
        <f>S39*AG39</f>
        <v>3.919229991400893</v>
      </c>
      <c r="AI39" s="637">
        <f>IF(U39="RR",IF((0.0308*(W39^5)-0.2562*(W39^4)+0.8634*(W39^3)-1.5285*(W39^2)+1.501*W39-0.013)&gt;0.7,0.7,IF((0.0308*(W39^5)-0.2562*(W39^4)+0.8634*(W39^3)-1.5285*(W39^2)+1.501*W39-0.013)&lt;0,0,(0.0308*(W39^5)-0.2562*(W39^4)+0.8634*(W39^3)-1.5285*(W39^2)+1.501*W39-0.013))),IF((0.0152*(W39^5)-0.131*(W39^4)+0.4581*(W39^3)-0.8418*(W39^2)+0.8536*W39-0.0046)&gt;0.65,0.65,IF((0.0152*(W39^5)-0.131*(W39^4)+0.4581*(W39^3)-0.8418*(W39^2)+0.8536*W39-0.0046)&lt;0,0,(0.0152*(W39^5)-0.131*(W39^4)+0.4581*(W39^3)-0.8418*(W39^2)+0.8536*W39-0.0046))))</f>
        <v>0</v>
      </c>
      <c r="AJ39" s="139">
        <f>S39*AI39</f>
        <v>0</v>
      </c>
      <c r="AK39" s="416">
        <f t="shared" si="1"/>
        <v>3.919229991400893</v>
      </c>
      <c r="AL39" s="641">
        <f>IF(ISNA(VLOOKUP(K39,'Efficiency Lookup'!$D$2:$G$35,4,FALSE)),0,VLOOKUP(K39,'Efficiency Lookup'!$D$2:$G$35,4,FALSE))</f>
        <v>0.55000000000000004</v>
      </c>
      <c r="AM39" s="1005">
        <f>T39*AL39</f>
        <v>422.39467804406308</v>
      </c>
      <c r="AN39" s="637">
        <f>IF(U39="RR",IF((0.0326*(W39^5)-0.2806*(W39^4)+0.9816*(W39^3)-1.8039*(W39^2)+1.8292*W39-0.0098)&gt;0.85,0.85,IF((0.0326*(W39^5)-0.2806*(W39^4)+0.9816*(W39^3)-1.8039*(W39^2)+1.8292*W39-0.0098)&lt;0,0,(0.0326*(W39^5)-0.2806*(W39^4)+0.9816*(W39^3)-1.8039*(W39^2)+1.8292*W39-0.0098))),IF((0.0304*(W39^5)-0.2619*(W39^4)+0.9161*(W39^3)-1.6837*(W39^2)+1.7072*W39-0.0091)&gt;0.8,0.8,IF((0.0304*(W39^5)-0.2619*(W39^4)+0.9161*(W39^3)-1.6837*(W39^2)+1.7072*W39-0.0091)&lt;0,0,(0.0304*(W39^5)-0.2619*(W39^4)+0.9161*(W39^3)-1.6837*(W39^2)+1.7072*W39-0.0091))))</f>
        <v>0</v>
      </c>
      <c r="AO39" s="139">
        <f>T39*AN39</f>
        <v>0</v>
      </c>
      <c r="AP39" s="647">
        <f>IF(AK39=AH39,AM39,AO39)</f>
        <v>422.39467804406308</v>
      </c>
      <c r="AQ39" s="789">
        <f>IF(AF39&lt;0,0,AF39)</f>
        <v>0.79682777570057006</v>
      </c>
      <c r="AR39" s="789">
        <f>IF(AK39&lt;0,0,AK39)</f>
        <v>3.919229991400893</v>
      </c>
      <c r="AS39" s="790">
        <f>IF(AP39&lt;0,0,AP39)</f>
        <v>422.39467804406308</v>
      </c>
    </row>
    <row r="40" spans="1:45" ht="30" x14ac:dyDescent="0.25">
      <c r="A40" s="261"/>
      <c r="B40" s="510">
        <v>37.996431000000001</v>
      </c>
      <c r="C40" s="510">
        <v>-78.500347000000005</v>
      </c>
      <c r="D40" s="510" t="s">
        <v>647</v>
      </c>
      <c r="E40" s="511">
        <v>47.05</v>
      </c>
      <c r="F40" s="669">
        <v>40802</v>
      </c>
      <c r="G40" s="510" t="s">
        <v>281</v>
      </c>
      <c r="H40" s="670"/>
      <c r="I40" s="511"/>
      <c r="J40" s="511" t="s">
        <v>343</v>
      </c>
      <c r="K40" s="511" t="s">
        <v>284</v>
      </c>
      <c r="L40" s="671"/>
      <c r="M40" s="671">
        <f>N40+O40+P40</f>
        <v>1.2231489709879999</v>
      </c>
      <c r="N40" s="672">
        <v>0.89022415745100003</v>
      </c>
      <c r="O40" s="514">
        <v>0.33292481353699999</v>
      </c>
      <c r="P40" s="514">
        <v>0</v>
      </c>
      <c r="Q40" s="673">
        <f>+N40/M40</f>
        <v>0.72781335599041586</v>
      </c>
      <c r="R40" s="674">
        <f>IF(L39="TT",(1.76*N40+0.5*O40+0.13*P40)-AF39,1.76*N40+0.5*O40+0.13*P40)</f>
        <v>1.7332569238822599</v>
      </c>
      <c r="S40" s="674">
        <f>IF(L39="TT",(M40*9.39+N40*6.99+O40*2.36)-AK39,M40*9.39+N40*6.99+O40*2.36)</f>
        <v>18.493738258107133</v>
      </c>
      <c r="T40" s="674">
        <f>IF(L39="TT",(M40*676.94+N40*101.08+O40*77.38)-AP39,M40*676.94+N40*101.08+O40*77.38)</f>
        <v>943.74404432725692</v>
      </c>
      <c r="U40" s="1022" t="s">
        <v>295</v>
      </c>
      <c r="V40" s="514" t="s">
        <v>645</v>
      </c>
      <c r="W40" s="675">
        <f>IF(V40="NA", 0, (V40)*12/N40/43560)</f>
        <v>0</v>
      </c>
      <c r="X40" s="634" t="str">
        <f t="shared" si="0"/>
        <v>NA</v>
      </c>
      <c r="Y40" s="676">
        <f>IF(X40="NA",0,R40*X40)</f>
        <v>0</v>
      </c>
      <c r="Z40" s="1061">
        <f>IF(ISNA(VLOOKUP(J40,'Efficiency Lookup'!$B$2:$C$38,2,FALSE)),0,(VLOOKUP(J40,'Efficiency Lookup'!$B$2:$C$38,2,FALSE)))</f>
        <v>0.5</v>
      </c>
      <c r="AA40" s="1005">
        <f>R40*Z40</f>
        <v>0.86662846194112997</v>
      </c>
      <c r="AB40" s="635">
        <f>IF(ISNA(VLOOKUP(K40,'Efficiency Lookup'!$D$2:$E$35,2,FALSE)),0,VLOOKUP(K40,'Efficiency Lookup'!$D$2:$E$35,2,FALSE))</f>
        <v>0.45</v>
      </c>
      <c r="AC40" s="139">
        <f>R40*AB40</f>
        <v>0.77996561574701695</v>
      </c>
      <c r="AD40" s="637">
        <f>IF(U40="RR",IF((0.0304*(W40^5)-0.2619*(W40^4)+0.9161*(W40^3)-1.6837*(W40^2)+1.7072*W40-0.0091)&gt;0.85,0.85,IF((0.0304*(W40^5)-0.2619*(W40^4)+0.9161*(W40^3)-1.6837*(W40^2)+1.7072*W40-0.0091)&lt;0,0,(0.0304*(W40^5)-0.2619*(W40^4)+0.9161*(W40^3)-1.6837*(W40^2)+1.7072*W40-0.0091))),IF((0.0239*(W40^5)-0.2058*(W40^4)+0.7198*(W40^3)-1.3229*(W40^2)+1.3414*W40-0.0072)&gt;0.65,0.65,IF((0.0239*(W40^5)-0.2058*(W40^4)+0.7198*(W40^3)-1.3229*(W40^2)+1.3414*W40-0.0072)&lt;0,0,(0.0239*(W40^5)-0.2058*(W40^4)+0.7198*(W40^3)-1.3229*(W40^2)+1.3414*W40-0.0072))))</f>
        <v>0</v>
      </c>
      <c r="AE40" s="139">
        <f>R40*AD40</f>
        <v>0</v>
      </c>
      <c r="AF40" s="516">
        <f>MAX(Y40,AA40,AC40,AE40)</f>
        <v>0.86662846194112997</v>
      </c>
      <c r="AG40" s="641">
        <f>IF(ISNA(VLOOKUP(K40,'Efficiency Lookup'!$D$2:$G$35,3,FALSE)),0,VLOOKUP(K40,'Efficiency Lookup'!$D$2:$G$35,3,FALSE))</f>
        <v>0.25</v>
      </c>
      <c r="AH40" s="1005">
        <f>S40*AG40</f>
        <v>4.6234345645267831</v>
      </c>
      <c r="AI40" s="637">
        <f>IF(U40="RR",IF((0.0308*(W40^5)-0.2562*(W40^4)+0.8634*(W40^3)-1.5285*(W40^2)+1.501*W40-0.013)&gt;0.7,0.7,IF((0.0308*(W40^5)-0.2562*(W40^4)+0.8634*(W40^3)-1.5285*(W40^2)+1.501*W40-0.013)&lt;0,0,(0.0308*(W40^5)-0.2562*(W40^4)+0.8634*(W40^3)-1.5285*(W40^2)+1.501*W40-0.013))),IF((0.0152*(W40^5)-0.131*(W40^4)+0.4581*(W40^3)-0.8418*(W40^2)+0.8536*W40-0.0046)&gt;0.65,0.65,IF((0.0152*(W40^5)-0.131*(W40^4)+0.4581*(W40^3)-0.8418*(W40^2)+0.8536*W40-0.0046)&lt;0,0,(0.0152*(W40^5)-0.131*(W40^4)+0.4581*(W40^3)-0.8418*(W40^2)+0.8536*W40-0.0046))))</f>
        <v>0</v>
      </c>
      <c r="AJ40" s="139">
        <f>S40*AI40</f>
        <v>0</v>
      </c>
      <c r="AK40" s="416">
        <f t="shared" si="1"/>
        <v>4.6234345645267831</v>
      </c>
      <c r="AL40" s="641">
        <f>IF(ISNA(VLOOKUP(K40,'Efficiency Lookup'!$D$2:$G$35,4,FALSE)),0,VLOOKUP(K40,'Efficiency Lookup'!$D$2:$G$35,4,FALSE))</f>
        <v>0.55000000000000004</v>
      </c>
      <c r="AM40" s="1005">
        <f>T40*AL40</f>
        <v>519.05922437999129</v>
      </c>
      <c r="AN40" s="637">
        <f>IF(U40="RR",IF((0.0326*(W40^5)-0.2806*(W40^4)+0.9816*(W40^3)-1.8039*(W40^2)+1.8292*W40-0.0098)&gt;0.85,0.85,IF((0.0326*(W40^5)-0.2806*(W40^4)+0.9816*(W40^3)-1.8039*(W40^2)+1.8292*W40-0.0098)&lt;0,0,(0.0326*(W40^5)-0.2806*(W40^4)+0.9816*(W40^3)-1.8039*(W40^2)+1.8292*W40-0.0098))),IF((0.0304*(W40^5)-0.2619*(W40^4)+0.9161*(W40^3)-1.6837*(W40^2)+1.7072*W40-0.0091)&gt;0.8,0.8,IF((0.0304*(W40^5)-0.2619*(W40^4)+0.9161*(W40^3)-1.6837*(W40^2)+1.7072*W40-0.0091)&lt;0,0,(0.0304*(W40^5)-0.2619*(W40^4)+0.9161*(W40^3)-1.6837*(W40^2)+1.7072*W40-0.0091))))</f>
        <v>0</v>
      </c>
      <c r="AO40" s="139">
        <f>T40*AN40</f>
        <v>0</v>
      </c>
      <c r="AP40" s="647">
        <f>IF(AK40=AH40,AM40,AO40)</f>
        <v>519.05922437999129</v>
      </c>
      <c r="AQ40" s="789">
        <f>IF(AF40&lt;0,0,AF40)</f>
        <v>0.86662846194112997</v>
      </c>
      <c r="AR40" s="789">
        <f>IF(AK40&lt;0,0,AK40)</f>
        <v>4.6234345645267831</v>
      </c>
      <c r="AS40" s="790">
        <f>IF(AP40&lt;0,0,AP40)</f>
        <v>519.05922437999129</v>
      </c>
    </row>
    <row r="41" spans="1:45" x14ac:dyDescent="0.25">
      <c r="A41" s="261"/>
      <c r="B41" s="510" t="s">
        <v>297</v>
      </c>
      <c r="C41" s="510" t="s">
        <v>297</v>
      </c>
      <c r="D41" s="510" t="s">
        <v>297</v>
      </c>
      <c r="E41" s="511"/>
      <c r="F41" s="705"/>
      <c r="G41" s="510"/>
      <c r="H41" s="511"/>
      <c r="I41" s="261" t="str">
        <f t="shared" si="2"/>
        <v/>
      </c>
      <c r="J41" s="511"/>
      <c r="K41" s="511"/>
      <c r="L41" s="510"/>
      <c r="M41" s="510"/>
      <c r="N41" s="672"/>
      <c r="O41" s="514"/>
      <c r="P41" s="514" t="s">
        <v>297</v>
      </c>
      <c r="Q41" s="688"/>
      <c r="R41" s="674"/>
      <c r="S41" s="674"/>
      <c r="T41" s="674"/>
      <c r="U41" s="1022"/>
      <c r="V41" s="514"/>
      <c r="W41" s="675"/>
      <c r="X41" s="636" t="str">
        <f t="shared" si="0"/>
        <v/>
      </c>
      <c r="Y41" s="706"/>
      <c r="Z41" s="640"/>
      <c r="AA41" s="1022"/>
      <c r="AB41" s="637"/>
      <c r="AC41" s="637"/>
      <c r="AD41" s="637"/>
      <c r="AE41" s="139"/>
      <c r="AF41" s="642"/>
      <c r="AG41" s="583"/>
      <c r="AH41" s="139"/>
      <c r="AI41" s="637"/>
      <c r="AJ41" s="139"/>
      <c r="AK41" s="416" t="str">
        <f t="shared" si="1"/>
        <v/>
      </c>
      <c r="AL41" s="642"/>
      <c r="AM41" s="637"/>
      <c r="AN41" s="637"/>
      <c r="AO41" s="139"/>
      <c r="AP41" s="647"/>
      <c r="AQ41" s="789"/>
      <c r="AR41" s="789"/>
      <c r="AS41" s="790"/>
    </row>
    <row r="42" spans="1:45" x14ac:dyDescent="0.25">
      <c r="A42" s="628"/>
      <c r="B42" s="668" t="s">
        <v>297</v>
      </c>
      <c r="C42" s="668" t="s">
        <v>297</v>
      </c>
      <c r="D42" s="668" t="s">
        <v>297</v>
      </c>
      <c r="E42" s="710"/>
      <c r="F42" s="711"/>
      <c r="G42" s="668"/>
      <c r="H42" s="712"/>
      <c r="I42" s="712" t="str">
        <f t="shared" si="2"/>
        <v/>
      </c>
      <c r="J42" s="712"/>
      <c r="K42" s="712"/>
      <c r="L42" s="712"/>
      <c r="M42" s="712"/>
      <c r="N42" s="712"/>
      <c r="O42" s="712"/>
      <c r="P42" s="712"/>
      <c r="Q42" s="712"/>
      <c r="R42" s="712"/>
      <c r="S42" s="712"/>
      <c r="T42" s="712"/>
      <c r="U42" s="712"/>
      <c r="V42" s="712"/>
      <c r="W42" s="712"/>
      <c r="X42" s="760" t="str">
        <f t="shared" si="0"/>
        <v/>
      </c>
      <c r="Y42" s="713"/>
      <c r="Z42" s="712"/>
      <c r="AA42" s="712"/>
      <c r="AB42" s="638"/>
      <c r="AC42" s="638"/>
      <c r="AD42" s="638"/>
      <c r="AE42" s="629"/>
      <c r="AF42" s="666"/>
      <c r="AG42" s="666"/>
      <c r="AH42" s="629"/>
      <c r="AI42" s="638"/>
      <c r="AJ42" s="629"/>
      <c r="AK42" s="639" t="str">
        <f t="shared" si="1"/>
        <v/>
      </c>
      <c r="AL42" s="644"/>
      <c r="AM42" s="638"/>
      <c r="AN42" s="638"/>
      <c r="AO42" s="629"/>
      <c r="AP42" s="648"/>
      <c r="AQ42" s="791"/>
      <c r="AR42" s="791"/>
      <c r="AS42" s="792"/>
    </row>
    <row r="43" spans="1:45" ht="14.45" customHeight="1" x14ac:dyDescent="0.25">
      <c r="A43" s="261"/>
      <c r="B43" s="510" t="s">
        <v>297</v>
      </c>
      <c r="C43" s="510" t="s">
        <v>297</v>
      </c>
      <c r="D43" s="510" t="s">
        <v>297</v>
      </c>
      <c r="E43" s="704"/>
      <c r="F43" s="705"/>
      <c r="G43" s="510"/>
      <c r="H43" s="511"/>
      <c r="I43" s="261" t="str">
        <f t="shared" si="2"/>
        <v/>
      </c>
      <c r="J43" s="511"/>
      <c r="K43" s="511"/>
      <c r="L43" s="510"/>
      <c r="M43" s="510"/>
      <c r="N43" s="672"/>
      <c r="O43" s="514"/>
      <c r="P43" s="514" t="s">
        <v>297</v>
      </c>
      <c r="Q43" s="688"/>
      <c r="R43" s="674"/>
      <c r="S43" s="674"/>
      <c r="T43" s="674"/>
      <c r="U43" s="1022"/>
      <c r="V43" s="514"/>
      <c r="W43" s="675"/>
      <c r="X43" s="636" t="str">
        <f t="shared" si="0"/>
        <v/>
      </c>
      <c r="Y43" s="706"/>
      <c r="Z43" s="640"/>
      <c r="AA43" s="1022"/>
      <c r="AB43" s="637"/>
      <c r="AC43" s="637"/>
      <c r="AD43" s="637"/>
      <c r="AE43" s="139"/>
      <c r="AF43" s="642"/>
      <c r="AG43" s="583"/>
      <c r="AH43" s="139"/>
      <c r="AI43" s="637"/>
      <c r="AJ43" s="139"/>
      <c r="AK43" s="416" t="str">
        <f t="shared" si="1"/>
        <v/>
      </c>
      <c r="AL43" s="642"/>
      <c r="AM43" s="637"/>
      <c r="AN43" s="637"/>
      <c r="AO43" s="139"/>
      <c r="AP43" s="647"/>
      <c r="AQ43" s="789"/>
      <c r="AR43" s="789"/>
      <c r="AS43" s="790"/>
    </row>
    <row r="44" spans="1:45" ht="45" x14ac:dyDescent="0.25">
      <c r="A44" s="261" t="s">
        <v>648</v>
      </c>
      <c r="B44" s="510">
        <v>38.033174000000002</v>
      </c>
      <c r="C44" s="510">
        <v>-78.445682000000005</v>
      </c>
      <c r="D44" s="510" t="s">
        <v>296</v>
      </c>
      <c r="E44" s="714" t="s">
        <v>649</v>
      </c>
      <c r="F44" s="715">
        <v>39567</v>
      </c>
      <c r="G44" s="510" t="s">
        <v>506</v>
      </c>
      <c r="H44" s="511" t="s">
        <v>650</v>
      </c>
      <c r="I44" s="511"/>
      <c r="J44" s="511" t="s">
        <v>508</v>
      </c>
      <c r="K44" s="511" t="s">
        <v>509</v>
      </c>
      <c r="L44" s="261"/>
      <c r="M44" s="514">
        <f>N44+O44+P44</f>
        <v>12.693644430696379</v>
      </c>
      <c r="N44" s="672">
        <v>7.6952774497889997</v>
      </c>
      <c r="O44" s="514">
        <v>3.6762129265773802</v>
      </c>
      <c r="P44" s="514">
        <v>1.3221540543299999</v>
      </c>
      <c r="Q44" s="673">
        <f>+N44/M44</f>
        <v>0.60623073946989658</v>
      </c>
      <c r="R44" s="674">
        <f>IF(L43="TT",(1.76*N44+0.5*O44+0.13*P44)-AF43,1.76*N44+0.5*O44+0.13*P44)</f>
        <v>15.553674801980229</v>
      </c>
      <c r="S44" s="674">
        <f>IF(L43="TT",(M44*9.39+N44*6.99+O44*2.36)-AK43,M44*9.39+N44*6.99+O44*2.36)</f>
        <v>181.65917308498675</v>
      </c>
      <c r="T44" s="674">
        <f>IF(L43="TT",(M44*676.94+N44*101.08+O44*77.38)-AP43,M44*676.94+N44*101.08+O44*77.38)</f>
        <v>9655.1396617988357</v>
      </c>
      <c r="U44" s="1022" t="s">
        <v>278</v>
      </c>
      <c r="V44" s="514">
        <f>2942*2</f>
        <v>5884</v>
      </c>
      <c r="W44" s="675">
        <f>IF(V44="NA", 0, (V44)*12/N44/43560)</f>
        <v>0.21064044145190663</v>
      </c>
      <c r="X44" s="634" t="str">
        <f t="shared" si="0"/>
        <v>NA</v>
      </c>
      <c r="Y44" s="676">
        <f>IF(X44="NA",0,R44*X44)</f>
        <v>0</v>
      </c>
      <c r="Z44" s="1061">
        <f>IF(ISNA(VLOOKUP(J44,'Efficiency Lookup'!$B$2:$C$38,2,FALSE)),0,(VLOOKUP(J44,'Efficiency Lookup'!$B$2:$C$38,2,FALSE)))</f>
        <v>0.65</v>
      </c>
      <c r="AA44" s="1022">
        <f>R44*Z44</f>
        <v>10.109888621287149</v>
      </c>
      <c r="AB44" s="635">
        <f>IF(ISNA(VLOOKUP(K44,'Efficiency Lookup'!$D$2:$E$35,2,FALSE)),0,VLOOKUP(K44,'Efficiency Lookup'!$D$2:$E$35,2,FALSE))</f>
        <v>0.6</v>
      </c>
      <c r="AC44" s="139">
        <f>R44*AB44</f>
        <v>9.3322048811881366</v>
      </c>
      <c r="AD44" s="637">
        <f>IF(U44="RR",IF((0.0304*(W44^5)-0.2619*(W44^4)+0.9161*(W44^3)-1.6837*(W44^2)+1.7072*W44-0.0091)&gt;0.85,0.85,IF((0.0304*(W44^5)-0.2619*(W44^4)+0.9161*(W44^3)-1.6837*(W44^2)+1.7072*W44-0.0091)&lt;0,0,(0.0304*(W44^5)-0.2619*(W44^4)+0.9161*(W44^3)-1.6837*(W44^2)+1.7072*W44-0.0091))),IF((0.0239*(W44^5)-0.2058*(W44^4)+0.7198*(W44^3)-1.3229*(W44^2)+1.3414*W44-0.0072)&gt;0.65,0.65,IF((0.0239*(W44^5)-0.2058*(W44^4)+0.7198*(W44^3)-1.3229*(W44^2)+1.3414*W44-0.0072)&lt;0,0,(0.0239*(W44^5)-0.2058*(W44^4)+0.7198*(W44^3)-1.3229*(W44^2)+1.3414*W44-0.0072))))</f>
        <v>0.22298882166058037</v>
      </c>
      <c r="AE44" s="139">
        <f>R44*AD44</f>
        <v>3.468295616585432</v>
      </c>
      <c r="AF44" s="516">
        <f>MAX(Y44,AA44,AC44,AE44)</f>
        <v>10.109888621287149</v>
      </c>
      <c r="AG44" s="636">
        <f>IF(ISNA(VLOOKUP(K44,'Efficiency Lookup'!$D$2:$G$35,3,FALSE)),0,VLOOKUP(K44,'Efficiency Lookup'!$D$2:$G$35,3,FALSE))</f>
        <v>0.4</v>
      </c>
      <c r="AH44" s="1022">
        <f>S44*AG44</f>
        <v>72.663669233994696</v>
      </c>
      <c r="AI44" s="637">
        <f>IF(U44="RR",IF((0.0308*(W44^5)-0.2562*(W44^4)+0.8634*(W44^3)-1.5285*(W44^2)+1.501*W44-0.013)&gt;0.7,0.7,IF((0.0308*(W44^5)-0.2562*(W44^4)+0.8634*(W44^3)-1.5285*(W44^2)+1.501*W44-0.013)&lt;0,0,(0.0308*(W44^5)-0.2562*(W44^4)+0.8634*(W44^3)-1.5285*(W44^2)+1.501*W44-0.013))),IF((0.0152*(W44^5)-0.131*(W44^4)+0.4581*(W44^3)-0.8418*(W44^2)+0.8536*W44-0.0046)&gt;0.65,0.65,IF((0.0152*(W44^5)-0.131*(W44^4)+0.4581*(W44^3)-0.8418*(W44^2)+0.8536*W44-0.0046)&lt;0,0,(0.0152*(W44^5)-0.131*(W44^4)+0.4581*(W44^3)-0.8418*(W44^2)+0.8536*W44-0.0046))))</f>
        <v>0.14188233202756378</v>
      </c>
      <c r="AJ44" s="139">
        <f>S44*AI44</f>
        <v>25.774227111496767</v>
      </c>
      <c r="AK44" s="416">
        <f t="shared" si="1"/>
        <v>72.663669233994696</v>
      </c>
      <c r="AL44" s="641">
        <f>IF(ISNA(VLOOKUP(K44,'Efficiency Lookup'!$D$2:$G$35,4,FALSE)),0,VLOOKUP(K44,'Efficiency Lookup'!$D$2:$G$35,4,FALSE))</f>
        <v>0.8</v>
      </c>
      <c r="AM44" s="1022">
        <f>T44*AL44</f>
        <v>7724.1117294390688</v>
      </c>
      <c r="AN44" s="637">
        <f>IF(U44="RR",IF((0.0326*(W44^5)-0.2806*(W44^4)+0.9816*(W44^3)-1.8039*(W44^2)+1.8292*W44-0.0098)&gt;0.85,0.85,IF((0.0326*(W44^5)-0.2806*(W44^4)+0.9816*(W44^3)-1.8039*(W44^2)+1.8292*W44-0.0098)&lt;0,0,(0.0326*(W44^5)-0.2806*(W44^4)+0.9816*(W44^3)-1.8039*(W44^2)+1.8292*W44-0.0098))),IF((0.0304*(W44^5)-0.2619*(W44^4)+0.9161*(W44^3)-1.6837*(W44^2)+1.7072*W44-0.0091)&gt;0.8,0.8,IF((0.0304*(W44^5)-0.2619*(W44^4)+0.9161*(W44^3)-1.6837*(W44^2)+1.7072*W44-0.0091)&lt;0,0,(0.0304*(W44^5)-0.2619*(W44^4)+0.9161*(W44^3)-1.6837*(W44^2)+1.7072*W44-0.0091))))</f>
        <v>0.28385948938098932</v>
      </c>
      <c r="AO44" s="139">
        <f>T44*AN44</f>
        <v>2740.7030143003553</v>
      </c>
      <c r="AP44" s="647">
        <f>IF(AK44=AH44,AM44,AO44)</f>
        <v>7724.1117294390688</v>
      </c>
      <c r="AQ44" s="789">
        <f>IF(AF44&lt;0,0,AF44)</f>
        <v>10.109888621287149</v>
      </c>
      <c r="AR44" s="789">
        <f>IF(AK44&lt;0,0,AK44)</f>
        <v>72.663669233994696</v>
      </c>
      <c r="AS44" s="790">
        <f>IF(AP44&lt;0,0,AP44)</f>
        <v>7724.1117294390688</v>
      </c>
    </row>
    <row r="45" spans="1:45" x14ac:dyDescent="0.25">
      <c r="A45" s="261"/>
      <c r="B45" s="510" t="s">
        <v>297</v>
      </c>
      <c r="C45" s="510" t="s">
        <v>297</v>
      </c>
      <c r="D45" s="510" t="s">
        <v>297</v>
      </c>
      <c r="E45" s="511"/>
      <c r="F45" s="705"/>
      <c r="G45" s="510"/>
      <c r="H45" s="511"/>
      <c r="I45" s="261" t="str">
        <f t="shared" si="2"/>
        <v/>
      </c>
      <c r="J45" s="511"/>
      <c r="K45" s="511"/>
      <c r="L45" s="510"/>
      <c r="M45" s="510"/>
      <c r="N45" s="672"/>
      <c r="O45" s="514"/>
      <c r="P45" s="514" t="s">
        <v>297</v>
      </c>
      <c r="Q45" s="688"/>
      <c r="R45" s="674"/>
      <c r="S45" s="674"/>
      <c r="T45" s="674"/>
      <c r="U45" s="1022"/>
      <c r="V45" s="514"/>
      <c r="W45" s="675"/>
      <c r="X45" s="636" t="str">
        <f t="shared" si="0"/>
        <v/>
      </c>
      <c r="Y45" s="706"/>
      <c r="Z45" s="640"/>
      <c r="AA45" s="1022"/>
      <c r="AB45" s="637"/>
      <c r="AC45" s="637"/>
      <c r="AD45" s="637"/>
      <c r="AE45" s="139"/>
      <c r="AF45" s="642"/>
      <c r="AG45" s="583"/>
      <c r="AH45" s="139"/>
      <c r="AI45" s="637"/>
      <c r="AJ45" s="139"/>
      <c r="AK45" s="416" t="str">
        <f t="shared" si="1"/>
        <v/>
      </c>
      <c r="AL45" s="642"/>
      <c r="AM45" s="637"/>
      <c r="AN45" s="637"/>
      <c r="AO45" s="139"/>
      <c r="AP45" s="647"/>
      <c r="AQ45" s="789"/>
      <c r="AR45" s="789"/>
      <c r="AS45" s="790"/>
    </row>
    <row r="46" spans="1:45" x14ac:dyDescent="0.25">
      <c r="A46" s="628"/>
      <c r="B46" s="668" t="s">
        <v>297</v>
      </c>
      <c r="C46" s="668" t="s">
        <v>297</v>
      </c>
      <c r="D46" s="668" t="s">
        <v>297</v>
      </c>
      <c r="E46" s="710"/>
      <c r="F46" s="711"/>
      <c r="G46" s="668"/>
      <c r="H46" s="712"/>
      <c r="I46" s="712" t="str">
        <f t="shared" si="2"/>
        <v/>
      </c>
      <c r="J46" s="712"/>
      <c r="K46" s="712"/>
      <c r="L46" s="712"/>
      <c r="M46" s="712"/>
      <c r="N46" s="712"/>
      <c r="O46" s="712"/>
      <c r="P46" s="712"/>
      <c r="Q46" s="712"/>
      <c r="R46" s="712"/>
      <c r="S46" s="712"/>
      <c r="T46" s="712"/>
      <c r="U46" s="712"/>
      <c r="V46" s="712"/>
      <c r="W46" s="712"/>
      <c r="X46" s="760" t="str">
        <f t="shared" si="0"/>
        <v/>
      </c>
      <c r="Y46" s="713"/>
      <c r="Z46" s="712"/>
      <c r="AA46" s="712"/>
      <c r="AB46" s="638"/>
      <c r="AC46" s="638"/>
      <c r="AD46" s="638"/>
      <c r="AE46" s="629"/>
      <c r="AF46" s="666"/>
      <c r="AG46" s="666"/>
      <c r="AH46" s="629"/>
      <c r="AI46" s="638"/>
      <c r="AJ46" s="629"/>
      <c r="AK46" s="639" t="str">
        <f t="shared" si="1"/>
        <v/>
      </c>
      <c r="AL46" s="644"/>
      <c r="AM46" s="638"/>
      <c r="AN46" s="638"/>
      <c r="AO46" s="629"/>
      <c r="AP46" s="648"/>
      <c r="AQ46" s="791"/>
      <c r="AR46" s="791"/>
      <c r="AS46" s="792"/>
    </row>
    <row r="47" spans="1:45" ht="14.45" customHeight="1" x14ac:dyDescent="0.25">
      <c r="A47" s="261"/>
      <c r="B47" s="510" t="s">
        <v>297</v>
      </c>
      <c r="C47" s="510" t="s">
        <v>297</v>
      </c>
      <c r="D47" s="510" t="s">
        <v>297</v>
      </c>
      <c r="E47" s="704"/>
      <c r="F47" s="705"/>
      <c r="G47" s="510"/>
      <c r="H47" s="511"/>
      <c r="I47" s="261" t="str">
        <f t="shared" si="2"/>
        <v/>
      </c>
      <c r="J47" s="511"/>
      <c r="K47" s="511"/>
      <c r="L47" s="510"/>
      <c r="M47" s="510"/>
      <c r="N47" s="672"/>
      <c r="O47" s="514"/>
      <c r="P47" s="514" t="s">
        <v>297</v>
      </c>
      <c r="Q47" s="688"/>
      <c r="R47" s="674"/>
      <c r="S47" s="674"/>
      <c r="T47" s="674"/>
      <c r="U47" s="1022"/>
      <c r="V47" s="514"/>
      <c r="W47" s="675"/>
      <c r="X47" s="636" t="str">
        <f t="shared" si="0"/>
        <v/>
      </c>
      <c r="Y47" s="706"/>
      <c r="Z47" s="640"/>
      <c r="AA47" s="1022"/>
      <c r="AB47" s="637"/>
      <c r="AC47" s="637"/>
      <c r="AD47" s="637"/>
      <c r="AE47" s="139"/>
      <c r="AF47" s="642"/>
      <c r="AG47" s="583"/>
      <c r="AH47" s="139"/>
      <c r="AI47" s="637"/>
      <c r="AJ47" s="139"/>
      <c r="AK47" s="416" t="str">
        <f t="shared" si="1"/>
        <v/>
      </c>
      <c r="AL47" s="642"/>
      <c r="AM47" s="637"/>
      <c r="AN47" s="637"/>
      <c r="AO47" s="139"/>
      <c r="AP47" s="647"/>
      <c r="AQ47" s="789"/>
      <c r="AR47" s="789"/>
      <c r="AS47" s="790"/>
    </row>
    <row r="48" spans="1:45" ht="30" x14ac:dyDescent="0.25">
      <c r="A48" s="261" t="s">
        <v>651</v>
      </c>
      <c r="B48" s="510">
        <v>38.090741000000001</v>
      </c>
      <c r="C48" s="510">
        <v>-78.475745000000003</v>
      </c>
      <c r="D48" s="510" t="s">
        <v>296</v>
      </c>
      <c r="E48" s="511">
        <v>280.01</v>
      </c>
      <c r="F48" s="669">
        <v>39184</v>
      </c>
      <c r="G48" s="510" t="s">
        <v>281</v>
      </c>
      <c r="H48" s="511"/>
      <c r="I48" s="511"/>
      <c r="J48" s="511" t="s">
        <v>343</v>
      </c>
      <c r="K48" s="511" t="s">
        <v>315</v>
      </c>
      <c r="L48" s="261"/>
      <c r="M48" s="514">
        <f>N48+O48+P48</f>
        <v>3.362241038707718</v>
      </c>
      <c r="N48" s="672">
        <v>1.5784247850599999</v>
      </c>
      <c r="O48" s="514">
        <v>1.5843895160737722</v>
      </c>
      <c r="P48" s="514">
        <v>0.19942673757394599</v>
      </c>
      <c r="Q48" s="673">
        <f>+N48/M48</f>
        <v>0.46945616536364382</v>
      </c>
      <c r="R48" s="674">
        <f>IF(L47="TT",(1.76*N48+0.5*O48+0.13*P48)-AF47,1.76*N48+0.5*O48+0.13*P48)</f>
        <v>3.5961478556270992</v>
      </c>
      <c r="S48" s="674">
        <f>IF(L47="TT",(M48*9.39+N48*6.99+O48*2.36)-AK47,M48*9.39+N48*6.99+O48*2.36)</f>
        <v>46.343791858968977</v>
      </c>
      <c r="T48" s="674">
        <f>IF(L47="TT",(M48*676.94+N48*101.08+O48*77.38)-AP47,M48*676.94+N48*101.08+O48*77.38)</f>
        <v>2558.1826867704558</v>
      </c>
      <c r="U48" s="1022" t="s">
        <v>285</v>
      </c>
      <c r="V48" s="514">
        <v>2366.6148000000003</v>
      </c>
      <c r="W48" s="675">
        <f>IF(V48="NA", 0, (V48)*12/N48/43560)</f>
        <v>0.41304470518385672</v>
      </c>
      <c r="X48" s="634" t="str">
        <f t="shared" si="0"/>
        <v>NA</v>
      </c>
      <c r="Y48" s="676">
        <f>IF(X48="NA",0,R48*X48)</f>
        <v>0</v>
      </c>
      <c r="Z48" s="635">
        <f>IF(ISNA(VLOOKUP(J48,'Efficiency Lookup'!$B$2:$C$38,2,FALSE)),0,(VLOOKUP(J48,'Efficiency Lookup'!$B$2:$C$38,2,FALSE)))</f>
        <v>0.5</v>
      </c>
      <c r="AA48" s="139">
        <f>R48*Z48</f>
        <v>1.7980739278135496</v>
      </c>
      <c r="AB48" s="640">
        <f>IF(ISNA(VLOOKUP(K48,'Efficiency Lookup'!$D$2:$E$35,2,FALSE)),0,VLOOKUP(K48,'Efficiency Lookup'!$D$2:$E$35,2,FALSE))</f>
        <v>0.75</v>
      </c>
      <c r="AC48" s="1022">
        <f>R48*AB48</f>
        <v>2.6971108917203246</v>
      </c>
      <c r="AD48" s="637">
        <f>IF(U48="RR",IF((0.0304*(W48^5)-0.2619*(W48^4)+0.9161*(W48^3)-1.6837*(W48^2)+1.7072*W48-0.0091)&gt;0.85,0.85,IF((0.0304*(W48^5)-0.2619*(W48^4)+0.9161*(W48^3)-1.6837*(W48^2)+1.7072*W48-0.0091)&lt;0,0,(0.0304*(W48^5)-0.2619*(W48^4)+0.9161*(W48^3)-1.6837*(W48^2)+1.7072*W48-0.0091))),IF((0.0239*(W48^5)-0.2058*(W48^4)+0.7198*(W48^3)-1.3229*(W48^2)+1.3414*W48-0.0072)&gt;0.65,0.65,IF((0.0239*(W48^5)-0.2058*(W48^4)+0.7198*(W48^3)-1.3229*(W48^2)+1.3414*W48-0.0072)&lt;0,0,(0.0239*(W48^5)-0.2058*(W48^4)+0.7198*(W48^3)-1.3229*(W48^2)+1.3414*W48-0.0072))))</f>
        <v>0.46609885394101624</v>
      </c>
      <c r="AE48" s="139">
        <f>R48*AD48</f>
        <v>1.6761603941102341</v>
      </c>
      <c r="AF48" s="516">
        <f>MAX(Y48,AA48,AC48,AE48)</f>
        <v>2.6971108917203246</v>
      </c>
      <c r="AG48" s="636">
        <f>IF(ISNA(VLOOKUP(K48,'Efficiency Lookup'!$D$2:$G$35,3,FALSE)),0,VLOOKUP(K48,'Efficiency Lookup'!$D$2:$G$35,3,FALSE))</f>
        <v>0.7</v>
      </c>
      <c r="AH48" s="1022">
        <f>S48*AG48</f>
        <v>32.440654301278279</v>
      </c>
      <c r="AI48" s="637">
        <f>IF(U48="RR",IF((0.0308*(W48^5)-0.2562*(W48^4)+0.8634*(W48^3)-1.5285*(W48^2)+1.501*W48-0.013)&gt;0.7,0.7,IF((0.0308*(W48^5)-0.2562*(W48^4)+0.8634*(W48^3)-1.5285*(W48^2)+1.501*W48-0.013)&lt;0,0,(0.0308*(W48^5)-0.2562*(W48^4)+0.8634*(W48^3)-1.5285*(W48^2)+1.501*W48-0.013))),IF((0.0152*(W48^5)-0.131*(W48^4)+0.4581*(W48^3)-0.8418*(W48^2)+0.8536*W48-0.0046)&gt;0.65,0.65,IF((0.0152*(W48^5)-0.131*(W48^4)+0.4581*(W48^3)-0.8418*(W48^2)+0.8536*W48-0.0046)&lt;0,0,(0.0152*(W48^5)-0.131*(W48^4)+0.4581*(W48^3)-0.8418*(W48^2)+0.8536*W48-0.0046))))</f>
        <v>0.39996413407408199</v>
      </c>
      <c r="AJ48" s="139">
        <f>S48*AI48</f>
        <v>18.535854580582019</v>
      </c>
      <c r="AK48" s="416">
        <f t="shared" si="1"/>
        <v>32.440654301278279</v>
      </c>
      <c r="AL48" s="641">
        <f>IF(ISNA(VLOOKUP(K48,'Efficiency Lookup'!$D$2:$G$35,4,FALSE)),0,VLOOKUP(K48,'Efficiency Lookup'!$D$2:$G$35,4,FALSE))</f>
        <v>0.8</v>
      </c>
      <c r="AM48" s="1022">
        <f>T48*AL48</f>
        <v>2046.5461494163646</v>
      </c>
      <c r="AN48" s="637">
        <f>IF(U48="RR",IF((0.0326*(W48^5)-0.2806*(W48^4)+0.9816*(W48^3)-1.8039*(W48^2)+1.8292*W48-0.0098)&gt;0.85,0.85,IF((0.0326*(W48^5)-0.2806*(W48^4)+0.9816*(W48^3)-1.8039*(W48^2)+1.8292*W48-0.0098)&lt;0,0,(0.0326*(W48^5)-0.2806*(W48^4)+0.9816*(W48^3)-1.8039*(W48^2)+1.8292*W48-0.0098))),IF((0.0304*(W48^5)-0.2619*(W48^4)+0.9161*(W48^3)-1.6837*(W48^2)+1.7072*W48-0.0091)&gt;0.8,0.8,IF((0.0304*(W48^5)-0.2619*(W48^4)+0.9161*(W48^3)-1.6837*(W48^2)+1.7072*W48-0.0091)&lt;0,0,(0.0304*(W48^5)-0.2619*(W48^4)+0.9161*(W48^3)-1.6837*(W48^2)+1.7072*W48-0.0091))))</f>
        <v>0.49938128077400851</v>
      </c>
      <c r="AO48" s="139">
        <f>T48*AN48</f>
        <v>1277.5085465733243</v>
      </c>
      <c r="AP48" s="647">
        <f>IF(AK48=AH48,AM48,AO48)</f>
        <v>2046.5461494163646</v>
      </c>
      <c r="AQ48" s="789">
        <f>IF(AF48&lt;0,0,AF48)</f>
        <v>2.6971108917203246</v>
      </c>
      <c r="AR48" s="789">
        <f>IF(AK48&lt;0,0,AK48)</f>
        <v>32.440654301278279</v>
      </c>
      <c r="AS48" s="790">
        <f>IF(AP48&lt;0,0,AP48)</f>
        <v>2046.5461494163646</v>
      </c>
    </row>
    <row r="49" spans="1:45" x14ac:dyDescent="0.25">
      <c r="A49" s="261"/>
      <c r="B49" s="510" t="s">
        <v>297</v>
      </c>
      <c r="C49" s="510" t="s">
        <v>297</v>
      </c>
      <c r="D49" s="510" t="s">
        <v>297</v>
      </c>
      <c r="E49" s="511"/>
      <c r="F49" s="705"/>
      <c r="G49" s="510"/>
      <c r="H49" s="511"/>
      <c r="I49" s="261" t="str">
        <f t="shared" si="2"/>
        <v/>
      </c>
      <c r="J49" s="511"/>
      <c r="K49" s="511"/>
      <c r="L49" s="510"/>
      <c r="M49" s="510"/>
      <c r="N49" s="672"/>
      <c r="O49" s="514"/>
      <c r="P49" s="514" t="s">
        <v>297</v>
      </c>
      <c r="Q49" s="688"/>
      <c r="R49" s="674"/>
      <c r="S49" s="674"/>
      <c r="T49" s="674"/>
      <c r="U49" s="1022"/>
      <c r="V49" s="514"/>
      <c r="W49" s="675"/>
      <c r="X49" s="636" t="str">
        <f t="shared" si="0"/>
        <v/>
      </c>
      <c r="Y49" s="706"/>
      <c r="Z49" s="640"/>
      <c r="AA49" s="1022"/>
      <c r="AB49" s="637"/>
      <c r="AC49" s="637"/>
      <c r="AD49" s="637"/>
      <c r="AE49" s="139"/>
      <c r="AF49" s="642"/>
      <c r="AG49" s="583"/>
      <c r="AH49" s="139"/>
      <c r="AI49" s="637"/>
      <c r="AJ49" s="139"/>
      <c r="AK49" s="416" t="str">
        <f t="shared" si="1"/>
        <v/>
      </c>
      <c r="AL49" s="642"/>
      <c r="AM49" s="637"/>
      <c r="AN49" s="637"/>
      <c r="AO49" s="139"/>
      <c r="AP49" s="647"/>
      <c r="AQ49" s="789"/>
      <c r="AR49" s="789"/>
      <c r="AS49" s="790"/>
    </row>
    <row r="50" spans="1:45" x14ac:dyDescent="0.25">
      <c r="A50" s="628"/>
      <c r="B50" s="668" t="s">
        <v>297</v>
      </c>
      <c r="C50" s="668" t="s">
        <v>297</v>
      </c>
      <c r="D50" s="668" t="s">
        <v>297</v>
      </c>
      <c r="E50" s="710"/>
      <c r="F50" s="711"/>
      <c r="G50" s="668"/>
      <c r="H50" s="712"/>
      <c r="I50" s="712" t="str">
        <f t="shared" si="2"/>
        <v/>
      </c>
      <c r="J50" s="712"/>
      <c r="K50" s="712"/>
      <c r="L50" s="712"/>
      <c r="M50" s="712"/>
      <c r="N50" s="712"/>
      <c r="O50" s="712"/>
      <c r="P50" s="712"/>
      <c r="Q50" s="712"/>
      <c r="R50" s="712"/>
      <c r="S50" s="712"/>
      <c r="T50" s="712"/>
      <c r="U50" s="712"/>
      <c r="V50" s="712"/>
      <c r="W50" s="712"/>
      <c r="X50" s="760" t="str">
        <f t="shared" si="0"/>
        <v/>
      </c>
      <c r="Y50" s="713"/>
      <c r="Z50" s="712"/>
      <c r="AA50" s="712"/>
      <c r="AB50" s="638"/>
      <c r="AC50" s="638"/>
      <c r="AD50" s="638"/>
      <c r="AE50" s="629"/>
      <c r="AF50" s="666"/>
      <c r="AG50" s="666"/>
      <c r="AH50" s="629"/>
      <c r="AI50" s="638"/>
      <c r="AJ50" s="629"/>
      <c r="AK50" s="639" t="str">
        <f t="shared" si="1"/>
        <v/>
      </c>
      <c r="AL50" s="644"/>
      <c r="AM50" s="638"/>
      <c r="AN50" s="638"/>
      <c r="AO50" s="629"/>
      <c r="AP50" s="648"/>
      <c r="AQ50" s="791"/>
      <c r="AR50" s="791"/>
      <c r="AS50" s="792"/>
    </row>
    <row r="51" spans="1:45" ht="14.45" customHeight="1" x14ac:dyDescent="0.25">
      <c r="A51" s="261"/>
      <c r="B51" s="510" t="s">
        <v>297</v>
      </c>
      <c r="C51" s="510" t="s">
        <v>297</v>
      </c>
      <c r="D51" s="510" t="s">
        <v>297</v>
      </c>
      <c r="E51" s="704"/>
      <c r="F51" s="705"/>
      <c r="G51" s="510"/>
      <c r="H51" s="511"/>
      <c r="I51" s="261" t="str">
        <f t="shared" si="2"/>
        <v/>
      </c>
      <c r="J51" s="511"/>
      <c r="K51" s="511"/>
      <c r="L51" s="510"/>
      <c r="M51" s="510"/>
      <c r="N51" s="672"/>
      <c r="O51" s="514"/>
      <c r="P51" s="514" t="s">
        <v>297</v>
      </c>
      <c r="Q51" s="688"/>
      <c r="R51" s="674"/>
      <c r="S51" s="674"/>
      <c r="T51" s="674"/>
      <c r="U51" s="1022"/>
      <c r="V51" s="514"/>
      <c r="W51" s="675"/>
      <c r="X51" s="636" t="str">
        <f t="shared" si="0"/>
        <v/>
      </c>
      <c r="Y51" s="706"/>
      <c r="Z51" s="640"/>
      <c r="AA51" s="1022"/>
      <c r="AB51" s="637"/>
      <c r="AC51" s="637"/>
      <c r="AD51" s="637"/>
      <c r="AE51" s="139"/>
      <c r="AF51" s="642"/>
      <c r="AG51" s="583"/>
      <c r="AH51" s="139"/>
      <c r="AI51" s="637"/>
      <c r="AJ51" s="139"/>
      <c r="AK51" s="416" t="str">
        <f t="shared" si="1"/>
        <v/>
      </c>
      <c r="AL51" s="642"/>
      <c r="AM51" s="637"/>
      <c r="AN51" s="637"/>
      <c r="AO51" s="139"/>
      <c r="AP51" s="647"/>
      <c r="AQ51" s="789"/>
      <c r="AR51" s="789"/>
      <c r="AS51" s="790"/>
    </row>
    <row r="52" spans="1:45" x14ac:dyDescent="0.25">
      <c r="A52" s="261" t="s">
        <v>652</v>
      </c>
      <c r="B52" s="510">
        <v>38.077334999999998</v>
      </c>
      <c r="C52" s="510">
        <v>-78.468463999999997</v>
      </c>
      <c r="D52" s="510" t="s">
        <v>296</v>
      </c>
      <c r="E52" s="511">
        <v>319.01</v>
      </c>
      <c r="F52" s="669">
        <v>39659</v>
      </c>
      <c r="G52" s="510" t="s">
        <v>289</v>
      </c>
      <c r="H52" s="511" t="s">
        <v>653</v>
      </c>
      <c r="I52" s="511" t="str">
        <f t="shared" si="2"/>
        <v>Filterra</v>
      </c>
      <c r="J52" s="511"/>
      <c r="K52" s="511"/>
      <c r="L52" s="261"/>
      <c r="M52" s="514">
        <f>N52+O52+P52</f>
        <v>1.0056588446314199</v>
      </c>
      <c r="N52" s="672">
        <v>0.53765731511159998</v>
      </c>
      <c r="O52" s="514">
        <v>0.33607813029781997</v>
      </c>
      <c r="P52" s="514">
        <v>0.131923399222</v>
      </c>
      <c r="Q52" s="673">
        <f>+N52/M52</f>
        <v>0.53463191616303507</v>
      </c>
      <c r="R52" s="674">
        <f>IF(L51="TT",(1.76*N52+0.5*O52+0.13*P52)-AF51,1.76*N52+0.5*O52+0.13*P52)</f>
        <v>1.1314659816441859</v>
      </c>
      <c r="S52" s="674">
        <f>IF(L51="TT",(M52*9.39+N52*6.99+O52*2.36)-AK51,M52*9.39+N52*6.99+O52*2.36)</f>
        <v>13.994505571221971</v>
      </c>
      <c r="T52" s="674">
        <f>IF(L51="TT",(M52*676.94+N52*101.08+O52*77.38)-AP51,M52*676.94+N52*101.08+O52*77.38)</f>
        <v>761.12282541871923</v>
      </c>
      <c r="U52" s="1022" t="s">
        <v>278</v>
      </c>
      <c r="V52" s="514">
        <v>53.1</v>
      </c>
      <c r="W52" s="675">
        <f>IF(V52="NA", 0, (V52)*12/N52/43560)</f>
        <v>2.7207105273955787E-2</v>
      </c>
      <c r="X52" s="636">
        <f t="shared" si="0"/>
        <v>0.5</v>
      </c>
      <c r="Y52" s="706">
        <f>IF(X52="NA",0,R52*X52)</f>
        <v>0.56573299082209294</v>
      </c>
      <c r="Z52" s="635">
        <f>IF(ISNA(VLOOKUP(J52,'Efficiency Lookup'!$B$2:$C$38,2,FALSE)),0,(VLOOKUP(J52,'Efficiency Lookup'!$B$2:$C$38,2,FALSE)))</f>
        <v>0</v>
      </c>
      <c r="AA52" s="139">
        <f>R52*Z52</f>
        <v>0</v>
      </c>
      <c r="AB52" s="635">
        <f>IF(ISNA(VLOOKUP(K52,'Efficiency Lookup'!$D$2:$E$35,2,FALSE)),0,VLOOKUP(K52,'Efficiency Lookup'!$D$2:$E$35,2,FALSE))</f>
        <v>0</v>
      </c>
      <c r="AC52" s="139">
        <f>R52*AB52</f>
        <v>0</v>
      </c>
      <c r="AD52" s="637">
        <f>IF(U52="RR",IF((0.0304*(W52^5)-0.2619*(W52^4)+0.9161*(W52^3)-1.6837*(W52^2)+1.7072*W52-0.0091)&gt;0.85,0.85,IF((0.0304*(W52^5)-0.2619*(W52^4)+0.9161*(W52^3)-1.6837*(W52^2)+1.7072*W52-0.0091)&lt;0,0,(0.0304*(W52^5)-0.2619*(W52^4)+0.9161*(W52^3)-1.6837*(W52^2)+1.7072*W52-0.0091))),IF((0.0239*(W52^5)-0.2058*(W52^4)+0.7198*(W52^3)-1.3229*(W52^2)+1.3414*W52-0.0072)&gt;0.65,0.65,IF((0.0239*(W52^5)-0.2058*(W52^4)+0.7198*(W52^3)-1.3229*(W52^2)+1.3414*W52-0.0072)&lt;0,0,(0.0239*(W52^5)-0.2058*(W52^4)+0.7198*(W52^3)-1.3229*(W52^2)+1.3414*W52-0.0072))))</f>
        <v>2.8330749222706203E-2</v>
      </c>
      <c r="AE52" s="139">
        <f>R52*AD52</f>
        <v>3.2055278979984531E-2</v>
      </c>
      <c r="AF52" s="516">
        <f>MAX(Y52,AA52,AC52,AE52)</f>
        <v>0.56573299082209294</v>
      </c>
      <c r="AG52" s="634">
        <f>IF(ISNA(VLOOKUP(K52,'Efficiency Lookup'!$D$2:$G$35,3,FALSE)),0,VLOOKUP(K52,'Efficiency Lookup'!$D$2:$G$35,3,FALSE))</f>
        <v>0</v>
      </c>
      <c r="AH52" s="139">
        <f>S52*AG52</f>
        <v>0</v>
      </c>
      <c r="AI52" s="649">
        <f>IF(U52="RR",IF((0.0308*(W52^5)-0.2562*(W52^4)+0.8634*(W52^3)-1.5285*(W52^2)+1.501*W52-0.013)&gt;0.7,0.7,IF((0.0308*(W52^5)-0.2562*(W52^4)+0.8634*(W52^3)-1.5285*(W52^2)+1.501*W52-0.013)&lt;0,0,(0.0308*(W52^5)-0.2562*(W52^4)+0.8634*(W52^3)-1.5285*(W52^2)+1.501*W52-0.013))),IF((0.0152*(W52^5)-0.131*(W52^4)+0.4581*(W52^3)-0.8418*(W52^2)+0.8536*W52-0.0046)&gt;0.65,0.65,IF((0.0152*(W52^5)-0.131*(W52^4)+0.4581*(W52^3)-0.8418*(W52^2)+0.8536*W52-0.0046)&lt;0,0,(0.0152*(W52^5)-0.131*(W52^4)+0.4581*(W52^3)-0.8418*(W52^2)+0.8536*W52-0.0046))))</f>
        <v>1.8010016645474875E-2</v>
      </c>
      <c r="AJ52" s="1022">
        <f>S52*AI52</f>
        <v>0.25204127828289857</v>
      </c>
      <c r="AK52" s="416">
        <f t="shared" si="1"/>
        <v>0.25204127828289857</v>
      </c>
      <c r="AL52" s="634">
        <f>IF(ISNA(VLOOKUP(K52,'Efficiency Lookup'!$D$2:$G$35,4,FALSE)),0,VLOOKUP(K52,'Efficiency Lookup'!$D$2:$G$35,4,FALSE))</f>
        <v>0</v>
      </c>
      <c r="AM52" s="139">
        <f>T52*AL52</f>
        <v>0</v>
      </c>
      <c r="AN52" s="521">
        <f>IF(U52="RR",IF((0.0326*(W52^5)-0.2806*(W52^4)+0.9816*(W52^3)-1.8039*(W52^2)+1.8292*W52-0.0098)&gt;0.85,0.85,IF((0.0326*(W52^5)-0.2806*(W52^4)+0.9816*(W52^3)-1.8039*(W52^2)+1.8292*W52-0.0098)&lt;0,0,(0.0326*(W52^5)-0.2806*(W52^4)+0.9816*(W52^3)-1.8039*(W52^2)+1.8292*W52-0.0098))),IF((0.0304*(W52^5)-0.2619*(W52^4)+0.9161*(W52^3)-1.6837*(W52^2)+1.7072*W52-0.0091)&gt;0.8,0.8,IF((0.0304*(W52^5)-0.2619*(W52^4)+0.9161*(W52^3)-1.6837*(W52^2)+1.7072*W52-0.0091)&lt;0,0,(0.0304*(W52^5)-0.2619*(W52^4)+0.9161*(W52^3)-1.6837*(W52^2)+1.7072*W52-0.0091))))</f>
        <v>3.6119957309143302E-2</v>
      </c>
      <c r="AO52" s="1005">
        <f>T52*AN52</f>
        <v>27.491723961138668</v>
      </c>
      <c r="AP52" s="647">
        <f>IF(AK52=AH52,AM52,AO52)</f>
        <v>27.491723961138668</v>
      </c>
      <c r="AQ52" s="789">
        <f>IF(AF52&lt;0,0,AF52)</f>
        <v>0.56573299082209294</v>
      </c>
      <c r="AR52" s="789">
        <f>IF(AK52&lt;0,0,AK52)</f>
        <v>0.25204127828289857</v>
      </c>
      <c r="AS52" s="790">
        <f>IF(AP52&lt;0,0,AP52)</f>
        <v>27.491723961138668</v>
      </c>
    </row>
    <row r="53" spans="1:45" x14ac:dyDescent="0.25">
      <c r="A53" s="261"/>
      <c r="B53" s="510" t="s">
        <v>297</v>
      </c>
      <c r="C53" s="510" t="s">
        <v>297</v>
      </c>
      <c r="D53" s="510" t="s">
        <v>297</v>
      </c>
      <c r="E53" s="511"/>
      <c r="F53" s="705"/>
      <c r="G53" s="510"/>
      <c r="H53" s="511"/>
      <c r="I53" s="261" t="str">
        <f t="shared" si="2"/>
        <v/>
      </c>
      <c r="J53" s="511"/>
      <c r="K53" s="511"/>
      <c r="L53" s="510"/>
      <c r="M53" s="510"/>
      <c r="N53" s="672"/>
      <c r="O53" s="514"/>
      <c r="P53" s="514" t="s">
        <v>297</v>
      </c>
      <c r="Q53" s="688"/>
      <c r="R53" s="674"/>
      <c r="S53" s="674"/>
      <c r="T53" s="674"/>
      <c r="U53" s="1022"/>
      <c r="V53" s="514"/>
      <c r="W53" s="675"/>
      <c r="X53" s="636" t="str">
        <f t="shared" si="0"/>
        <v/>
      </c>
      <c r="Y53" s="706"/>
      <c r="Z53" s="640"/>
      <c r="AA53" s="1022"/>
      <c r="AB53" s="637"/>
      <c r="AC53" s="637"/>
      <c r="AD53" s="637"/>
      <c r="AE53" s="139"/>
      <c r="AF53" s="642"/>
      <c r="AG53" s="583"/>
      <c r="AH53" s="139"/>
      <c r="AI53" s="637"/>
      <c r="AJ53" s="139"/>
      <c r="AK53" s="416" t="str">
        <f t="shared" si="1"/>
        <v/>
      </c>
      <c r="AL53" s="642"/>
      <c r="AM53" s="637"/>
      <c r="AN53" s="637"/>
      <c r="AO53" s="139"/>
      <c r="AP53" s="647"/>
      <c r="AQ53" s="789"/>
      <c r="AR53" s="789"/>
      <c r="AS53" s="790"/>
    </row>
    <row r="54" spans="1:45" x14ac:dyDescent="0.25">
      <c r="A54" s="628"/>
      <c r="B54" s="668" t="s">
        <v>297</v>
      </c>
      <c r="C54" s="668" t="s">
        <v>297</v>
      </c>
      <c r="D54" s="668" t="s">
        <v>297</v>
      </c>
      <c r="E54" s="710"/>
      <c r="F54" s="711"/>
      <c r="G54" s="668"/>
      <c r="H54" s="712"/>
      <c r="I54" s="712" t="str">
        <f t="shared" si="2"/>
        <v/>
      </c>
      <c r="J54" s="712"/>
      <c r="K54" s="712"/>
      <c r="L54" s="712"/>
      <c r="M54" s="712"/>
      <c r="N54" s="712"/>
      <c r="O54" s="712"/>
      <c r="P54" s="712"/>
      <c r="Q54" s="712"/>
      <c r="R54" s="712"/>
      <c r="S54" s="712"/>
      <c r="T54" s="712"/>
      <c r="U54" s="712"/>
      <c r="V54" s="712"/>
      <c r="W54" s="712"/>
      <c r="X54" s="760" t="str">
        <f t="shared" si="0"/>
        <v/>
      </c>
      <c r="Y54" s="713"/>
      <c r="Z54" s="712"/>
      <c r="AA54" s="712"/>
      <c r="AB54" s="638"/>
      <c r="AC54" s="638"/>
      <c r="AD54" s="638"/>
      <c r="AE54" s="629"/>
      <c r="AF54" s="666"/>
      <c r="AG54" s="666"/>
      <c r="AH54" s="629"/>
      <c r="AI54" s="638"/>
      <c r="AJ54" s="629"/>
      <c r="AK54" s="639" t="str">
        <f t="shared" si="1"/>
        <v/>
      </c>
      <c r="AL54" s="644"/>
      <c r="AM54" s="638"/>
      <c r="AN54" s="638"/>
      <c r="AO54" s="629"/>
      <c r="AP54" s="648"/>
      <c r="AQ54" s="791"/>
      <c r="AR54" s="791"/>
      <c r="AS54" s="792"/>
    </row>
    <row r="55" spans="1:45" ht="14.45" customHeight="1" x14ac:dyDescent="0.25">
      <c r="A55" s="261"/>
      <c r="B55" s="510" t="s">
        <v>297</v>
      </c>
      <c r="C55" s="510" t="s">
        <v>297</v>
      </c>
      <c r="D55" s="510" t="s">
        <v>297</v>
      </c>
      <c r="E55" s="704"/>
      <c r="F55" s="705"/>
      <c r="G55" s="510"/>
      <c r="H55" s="511"/>
      <c r="I55" s="261" t="str">
        <f t="shared" si="2"/>
        <v/>
      </c>
      <c r="J55" s="511"/>
      <c r="K55" s="511"/>
      <c r="L55" s="510"/>
      <c r="M55" s="510"/>
      <c r="N55" s="672"/>
      <c r="O55" s="514"/>
      <c r="P55" s="514" t="s">
        <v>297</v>
      </c>
      <c r="Q55" s="688"/>
      <c r="R55" s="674"/>
      <c r="S55" s="674"/>
      <c r="T55" s="674"/>
      <c r="U55" s="1022"/>
      <c r="V55" s="514"/>
      <c r="W55" s="675"/>
      <c r="X55" s="636" t="str">
        <f t="shared" si="0"/>
        <v/>
      </c>
      <c r="Y55" s="706"/>
      <c r="Z55" s="640"/>
      <c r="AA55" s="1022"/>
      <c r="AB55" s="637"/>
      <c r="AC55" s="637"/>
      <c r="AD55" s="637"/>
      <c r="AE55" s="139"/>
      <c r="AF55" s="642"/>
      <c r="AG55" s="583"/>
      <c r="AH55" s="139"/>
      <c r="AI55" s="637"/>
      <c r="AJ55" s="139"/>
      <c r="AK55" s="416" t="str">
        <f t="shared" si="1"/>
        <v/>
      </c>
      <c r="AL55" s="642"/>
      <c r="AM55" s="637"/>
      <c r="AN55" s="637"/>
      <c r="AO55" s="139"/>
      <c r="AP55" s="647"/>
      <c r="AQ55" s="789"/>
      <c r="AR55" s="789"/>
      <c r="AS55" s="790"/>
    </row>
    <row r="56" spans="1:45" x14ac:dyDescent="0.25">
      <c r="A56" s="261" t="s">
        <v>654</v>
      </c>
      <c r="B56" s="510">
        <v>38.088909999999998</v>
      </c>
      <c r="C56" s="510">
        <v>-78.470765</v>
      </c>
      <c r="D56" s="510" t="s">
        <v>296</v>
      </c>
      <c r="E56" s="511">
        <v>272.01</v>
      </c>
      <c r="F56" s="669">
        <v>39057</v>
      </c>
      <c r="G56" s="510" t="s">
        <v>289</v>
      </c>
      <c r="H56" s="511" t="s">
        <v>655</v>
      </c>
      <c r="I56" s="511" t="str">
        <f t="shared" si="2"/>
        <v>Filterra</v>
      </c>
      <c r="J56" s="511"/>
      <c r="K56" s="511"/>
      <c r="L56" s="261"/>
      <c r="M56" s="514">
        <f>N56+O56+P56</f>
        <v>9.6830416241678999E-2</v>
      </c>
      <c r="N56" s="672">
        <v>9.6239356049799996E-2</v>
      </c>
      <c r="O56" s="514">
        <v>5.9106019187900002E-4</v>
      </c>
      <c r="P56" s="514">
        <v>0</v>
      </c>
      <c r="Q56" s="673">
        <f>+N56/M56</f>
        <v>0.99389592428887452</v>
      </c>
      <c r="R56" s="674">
        <f>IF(L55="TT",(1.76*N56+0.5*O56+0.13*P56)-AF55,1.76*N56+0.5*O56+0.13*P56)</f>
        <v>0.16967679674358749</v>
      </c>
      <c r="S56" s="674">
        <f>IF(L55="TT",(M56*9.39+N56*6.99+O56*2.36)-AK55,M56*9.39+N56*6.99+O56*2.36)</f>
        <v>1.5833456093503024</v>
      </c>
      <c r="T56" s="674">
        <f>IF(L55="TT",(M56*676.94+N56*101.08+O56*77.38)-AP55,M56*676.94+N56*101.08+O56*77.38)</f>
        <v>75.321992317803563</v>
      </c>
      <c r="U56" s="1022" t="s">
        <v>278</v>
      </c>
      <c r="V56" s="514">
        <v>35</v>
      </c>
      <c r="W56" s="675">
        <f>IF(V56="NA", 0, (V56)*12/N56/43560)</f>
        <v>0.10018638604821538</v>
      </c>
      <c r="X56" s="636">
        <f t="shared" si="0"/>
        <v>0.5</v>
      </c>
      <c r="Y56" s="706">
        <f>IF(X56="NA",0,R56*X56)</f>
        <v>8.4838398371793744E-2</v>
      </c>
      <c r="Z56" s="635">
        <f>IF(ISNA(VLOOKUP(J56,'Efficiency Lookup'!$B$2:$C$38,2,FALSE)),0,(VLOOKUP(J56,'Efficiency Lookup'!$B$2:$C$38,2,FALSE)))</f>
        <v>0</v>
      </c>
      <c r="AA56" s="139">
        <f>R56*Z56</f>
        <v>0</v>
      </c>
      <c r="AB56" s="635">
        <f>IF(ISNA(VLOOKUP(K56,'Efficiency Lookup'!$D$2:$E$35,2,FALSE)),0,VLOOKUP(K56,'Efficiency Lookup'!$D$2:$E$35,2,FALSE))</f>
        <v>0</v>
      </c>
      <c r="AC56" s="139">
        <f>R56*AB56</f>
        <v>0</v>
      </c>
      <c r="AD56" s="637">
        <f>IF(U56="RR",IF((0.0304*(W56^5)-0.2619*(W56^4)+0.9161*(W56^3)-1.6837*(W56^2)+1.7072*W56-0.0091)&gt;0.85,0.85,IF((0.0304*(W56^5)-0.2619*(W56^4)+0.9161*(W56^3)-1.6837*(W56^2)+1.7072*W56-0.0091)&lt;0,0,(0.0304*(W56^5)-0.2619*(W56^4)+0.9161*(W56^3)-1.6837*(W56^2)+1.7072*W56-0.0091))),IF((0.0239*(W56^5)-0.2058*(W56^4)+0.7198*(W56^3)-1.3229*(W56^2)+1.3414*W56-0.0072)&gt;0.65,0.65,IF((0.0239*(W56^5)-0.2058*(W56^4)+0.7198*(W56^3)-1.3229*(W56^2)+1.3414*W56-0.0072)&lt;0,0,(0.0239*(W56^5)-0.2058*(W56^4)+0.7198*(W56^3)-1.3229*(W56^2)+1.3414*W56-0.0072))))</f>
        <v>0.11461499796703842</v>
      </c>
      <c r="AE56" s="139">
        <f>R56*AD56</f>
        <v>1.9447505713819872E-2</v>
      </c>
      <c r="AF56" s="516">
        <f>MAX(Y56,AA56,AC56,AE56)</f>
        <v>8.4838398371793744E-2</v>
      </c>
      <c r="AG56" s="634">
        <f>IF(ISNA(VLOOKUP(K56,'Efficiency Lookup'!$D$2:$G$35,3,FALSE)),0,VLOOKUP(K56,'Efficiency Lookup'!$D$2:$G$35,3,FALSE))</f>
        <v>0</v>
      </c>
      <c r="AH56" s="139">
        <f>S56*AG56</f>
        <v>0</v>
      </c>
      <c r="AI56" s="649">
        <f>IF(U56="RR",IF((0.0308*(W56^5)-0.2562*(W56^4)+0.8634*(W56^3)-1.5285*(W56^2)+1.501*W56-0.013)&gt;0.7,0.7,IF((0.0308*(W56^5)-0.2562*(W56^4)+0.8634*(W56^3)-1.5285*(W56^2)+1.501*W56-0.013)&lt;0,0,(0.0308*(W56^5)-0.2562*(W56^4)+0.8634*(W56^3)-1.5285*(W56^2)+1.501*W56-0.013))),IF((0.0152*(W56^5)-0.131*(W56^4)+0.4581*(W56^3)-0.8418*(W56^2)+0.8536*W56-0.0046)&gt;0.65,0.65,IF((0.0152*(W56^5)-0.131*(W56^4)+0.4581*(W56^3)-0.8418*(W56^2)+0.8536*W56-0.0046)&lt;0,0,(0.0152*(W56^5)-0.131*(W56^4)+0.4581*(W56^3)-0.8418*(W56^2)+0.8536*W56-0.0046))))</f>
        <v>7.2917311694602943E-2</v>
      </c>
      <c r="AJ56" s="1022">
        <f>S56*AI56</f>
        <v>0.11545330531727703</v>
      </c>
      <c r="AK56" s="416">
        <f t="shared" si="1"/>
        <v>0.11545330531727703</v>
      </c>
      <c r="AL56" s="634">
        <f>IF(ISNA(VLOOKUP(K56,'Efficiency Lookup'!$D$2:$G$35,4,FALSE)),0,VLOOKUP(K56,'Efficiency Lookup'!$D$2:$G$35,4,FALSE))</f>
        <v>0</v>
      </c>
      <c r="AM56" s="139">
        <f>T56*AL56</f>
        <v>0</v>
      </c>
      <c r="AN56" s="521">
        <f>IF(U56="RR",IF((0.0326*(W56^5)-0.2806*(W56^4)+0.9816*(W56^3)-1.8039*(W56^2)+1.8292*W56-0.0098)&gt;0.85,0.85,IF((0.0326*(W56^5)-0.2806*(W56^4)+0.9816*(W56^3)-1.8039*(W56^2)+1.8292*W56-0.0098)&lt;0,0,(0.0326*(W56^5)-0.2806*(W56^4)+0.9816*(W56^3)-1.8039*(W56^2)+1.8292*W56-0.0098))),IF((0.0304*(W56^5)-0.2619*(W56^4)+0.9161*(W56^3)-1.6837*(W56^2)+1.7072*W56-0.0091)&gt;0.8,0.8,IF((0.0304*(W56^5)-0.2619*(W56^4)+0.9161*(W56^3)-1.6837*(W56^2)+1.7072*W56-0.0091)&lt;0,0,(0.0304*(W56^5)-0.2619*(W56^4)+0.9161*(W56^3)-1.6837*(W56^2)+1.7072*W56-0.0091))))</f>
        <v>0.14593352917257307</v>
      </c>
      <c r="AO56" s="1005">
        <f>T56*AN56</f>
        <v>10.992004163246511</v>
      </c>
      <c r="AP56" s="647">
        <f>IF(AK56=AH56,AM56,AO56)</f>
        <v>10.992004163246511</v>
      </c>
      <c r="AQ56" s="789">
        <f>IF(AF56&lt;0,0,AF56)</f>
        <v>8.4838398371793744E-2</v>
      </c>
      <c r="AR56" s="789">
        <f>IF(AK56&lt;0,0,AK56)</f>
        <v>0.11545330531727703</v>
      </c>
      <c r="AS56" s="790">
        <f>IF(AP56&lt;0,0,AP56)</f>
        <v>10.992004163246511</v>
      </c>
    </row>
    <row r="57" spans="1:45" x14ac:dyDescent="0.25">
      <c r="A57" s="261" t="s">
        <v>654</v>
      </c>
      <c r="B57" s="510">
        <v>38.088731000000003</v>
      </c>
      <c r="C57" s="510">
        <v>-78.470324000000005</v>
      </c>
      <c r="D57" s="510" t="s">
        <v>296</v>
      </c>
      <c r="E57" s="511">
        <v>272.02</v>
      </c>
      <c r="F57" s="669">
        <v>39057</v>
      </c>
      <c r="G57" s="510" t="s">
        <v>289</v>
      </c>
      <c r="H57" s="511" t="s">
        <v>655</v>
      </c>
      <c r="I57" s="511" t="str">
        <f t="shared" si="2"/>
        <v>Filterra</v>
      </c>
      <c r="J57" s="511"/>
      <c r="K57" s="511"/>
      <c r="L57" s="261"/>
      <c r="M57" s="514">
        <f>N57+O57+P57</f>
        <v>0.16146333291122</v>
      </c>
      <c r="N57" s="672">
        <v>0.14688503888400001</v>
      </c>
      <c r="O57" s="514">
        <v>1.4578294027220001E-2</v>
      </c>
      <c r="P57" s="514">
        <v>0</v>
      </c>
      <c r="Q57" s="673">
        <f>+N57/M57</f>
        <v>0.90971142633828939</v>
      </c>
      <c r="R57" s="674">
        <f>IF(L56="TT",(1.76*N57+0.5*O57+0.13*P57)-AF56,1.76*N57+0.5*O57+0.13*P57)</f>
        <v>0.26580681544945001</v>
      </c>
      <c r="S57" s="674">
        <f>IF(L56="TT",(M57*9.39+N57*6.99+O57*2.36)-AK56,M57*9.39+N57*6.99+O57*2.36)</f>
        <v>2.577271891739755</v>
      </c>
      <c r="T57" s="674">
        <f>IF(L56="TT",(M57*676.94+N57*101.08+O57*77.38)-AP56,M57*676.94+N57*101.08+O57*77.38)</f>
        <v>125.27619670314229</v>
      </c>
      <c r="U57" s="1022" t="s">
        <v>278</v>
      </c>
      <c r="V57" s="514">
        <v>35</v>
      </c>
      <c r="W57" s="675">
        <f>IF(V57="NA", 0, (V57)*12/N57/43560)</f>
        <v>6.5642310146041646E-2</v>
      </c>
      <c r="X57" s="636">
        <f t="shared" si="0"/>
        <v>0.5</v>
      </c>
      <c r="Y57" s="706">
        <f>IF(X57="NA",0,R57*X57)</f>
        <v>0.132903407724725</v>
      </c>
      <c r="Z57" s="635">
        <f>IF(ISNA(VLOOKUP(J57,'Efficiency Lookup'!$B$2:$C$38,2,FALSE)),0,(VLOOKUP(J57,'Efficiency Lookup'!$B$2:$C$38,2,FALSE)))</f>
        <v>0</v>
      </c>
      <c r="AA57" s="139">
        <f>R57*Z57</f>
        <v>0</v>
      </c>
      <c r="AB57" s="635">
        <f>IF(ISNA(VLOOKUP(K57,'Efficiency Lookup'!$D$2:$E$35,2,FALSE)),0,VLOOKUP(K57,'Efficiency Lookup'!$D$2:$E$35,2,FALSE))</f>
        <v>0</v>
      </c>
      <c r="AC57" s="139">
        <f>R57*AB57</f>
        <v>0</v>
      </c>
      <c r="AD57" s="637">
        <f>IF(U57="RR",IF((0.0304*(W57^5)-0.2619*(W57^4)+0.9161*(W57^3)-1.6837*(W57^2)+1.7072*W57-0.0091)&gt;0.85,0.85,IF((0.0304*(W57^5)-0.2619*(W57^4)+0.9161*(W57^3)-1.6837*(W57^2)+1.7072*W57-0.0091)&lt;0,0,(0.0304*(W57^5)-0.2619*(W57^4)+0.9161*(W57^3)-1.6837*(W57^2)+1.7072*W57-0.0091))),IF((0.0239*(W57^5)-0.2058*(W57^4)+0.7198*(W57^3)-1.3229*(W57^2)+1.3414*W57-0.0072)&gt;0.65,0.65,IF((0.0239*(W57^5)-0.2058*(W57^4)+0.7198*(W57^3)-1.3229*(W57^2)+1.3414*W57-0.0072)&lt;0,0,(0.0239*(W57^5)-0.2058*(W57^4)+0.7198*(W57^3)-1.3229*(W57^2)+1.3414*W57-0.0072))))</f>
        <v>7.5352135342113435E-2</v>
      </c>
      <c r="AE57" s="139">
        <f>R57*AD57</f>
        <v>2.0029111132603125E-2</v>
      </c>
      <c r="AF57" s="516">
        <f>MAX(Y57,AA57,AC57,AE57)</f>
        <v>0.132903407724725</v>
      </c>
      <c r="AG57" s="634">
        <f>IF(ISNA(VLOOKUP(K57,'Efficiency Lookup'!$D$2:$G$35,3,FALSE)),0,VLOOKUP(K57,'Efficiency Lookup'!$D$2:$G$35,3,FALSE))</f>
        <v>0</v>
      </c>
      <c r="AH57" s="139">
        <f>S57*AG57</f>
        <v>0</v>
      </c>
      <c r="AI57" s="649">
        <f>IF(U57="RR",IF((0.0308*(W57^5)-0.2562*(W57^4)+0.8634*(W57^3)-1.5285*(W57^2)+1.501*W57-0.013)&gt;0.7,0.7,IF((0.0308*(W57^5)-0.2562*(W57^4)+0.8634*(W57^3)-1.5285*(W57^2)+1.501*W57-0.013)&lt;0,0,(0.0308*(W57^5)-0.2562*(W57^4)+0.8634*(W57^3)-1.5285*(W57^2)+1.501*W57-0.013))),IF((0.0152*(W57^5)-0.131*(W57^4)+0.4581*(W57^3)-0.8418*(W57^2)+0.8536*W57-0.0046)&gt;0.65,0.65,IF((0.0152*(W57^5)-0.131*(W57^4)+0.4581*(W57^3)-0.8418*(W57^2)+0.8536*W57-0.0046)&lt;0,0,(0.0152*(W57^5)-0.131*(W57^4)+0.4581*(W57^3)-0.8418*(W57^2)+0.8536*W57-0.0046))))</f>
        <v>4.7932191569466827E-2</v>
      </c>
      <c r="AJ57" s="1022">
        <f>S57*AI57</f>
        <v>0.12353429004147211</v>
      </c>
      <c r="AK57" s="416">
        <f t="shared" si="1"/>
        <v>0.12353429004147211</v>
      </c>
      <c r="AL57" s="634">
        <f>IF(ISNA(VLOOKUP(K57,'Efficiency Lookup'!$D$2:$G$35,4,FALSE)),0,VLOOKUP(K57,'Efficiency Lookup'!$D$2:$G$35,4,FALSE))</f>
        <v>0</v>
      </c>
      <c r="AM57" s="139">
        <f>T57*AL57</f>
        <v>0</v>
      </c>
      <c r="AN57" s="521">
        <f>IF(U57="RR",IF((0.0326*(W57^5)-0.2806*(W57^4)+0.9816*(W57^3)-1.8039*(W57^2)+1.8292*W57-0.0098)&gt;0.85,0.85,IF((0.0326*(W57^5)-0.2806*(W57^4)+0.9816*(W57^3)-1.8039*(W57^2)+1.8292*W57-0.0098)&lt;0,0,(0.0326*(W57^5)-0.2806*(W57^4)+0.9816*(W57^3)-1.8039*(W57^2)+1.8292*W57-0.0098))),IF((0.0304*(W57^5)-0.2619*(W57^4)+0.9161*(W57^3)-1.6837*(W57^2)+1.7072*W57-0.0091)&gt;0.8,0.8,IF((0.0304*(W57^5)-0.2619*(W57^4)+0.9161*(W57^3)-1.6837*(W57^2)+1.7072*W57-0.0091)&lt;0,0,(0.0304*(W57^5)-0.2619*(W57^4)+0.9161*(W57^3)-1.6837*(W57^2)+1.7072*W57-0.0091))))</f>
        <v>9.5963925819618962E-2</v>
      </c>
      <c r="AO57" s="1005">
        <f>T57*AN57</f>
        <v>12.02199564738434</v>
      </c>
      <c r="AP57" s="647">
        <f>IF(AK57=AH57,AM57,AO57)</f>
        <v>12.02199564738434</v>
      </c>
      <c r="AQ57" s="789">
        <f>IF(AF57&lt;0,0,AF57)</f>
        <v>0.132903407724725</v>
      </c>
      <c r="AR57" s="789">
        <f>IF(AK57&lt;0,0,AK57)</f>
        <v>0.12353429004147211</v>
      </c>
      <c r="AS57" s="790">
        <f>IF(AP57&lt;0,0,AP57)</f>
        <v>12.02199564738434</v>
      </c>
    </row>
    <row r="58" spans="1:45" x14ac:dyDescent="0.25">
      <c r="A58" s="261"/>
      <c r="B58" s="510" t="s">
        <v>297</v>
      </c>
      <c r="C58" s="510" t="s">
        <v>297</v>
      </c>
      <c r="D58" s="510" t="s">
        <v>297</v>
      </c>
      <c r="E58" s="511"/>
      <c r="F58" s="705"/>
      <c r="G58" s="510"/>
      <c r="H58" s="511"/>
      <c r="I58" s="261" t="str">
        <f t="shared" si="2"/>
        <v/>
      </c>
      <c r="J58" s="511"/>
      <c r="K58" s="511"/>
      <c r="L58" s="510"/>
      <c r="M58" s="510"/>
      <c r="N58" s="672"/>
      <c r="O58" s="514"/>
      <c r="P58" s="514" t="s">
        <v>297</v>
      </c>
      <c r="Q58" s="688"/>
      <c r="R58" s="674"/>
      <c r="S58" s="674"/>
      <c r="T58" s="674"/>
      <c r="U58" s="1022"/>
      <c r="V58" s="514"/>
      <c r="W58" s="675"/>
      <c r="X58" s="636" t="str">
        <f t="shared" si="0"/>
        <v/>
      </c>
      <c r="Y58" s="706"/>
      <c r="Z58" s="640"/>
      <c r="AA58" s="1022"/>
      <c r="AB58" s="637"/>
      <c r="AC58" s="637"/>
      <c r="AD58" s="637"/>
      <c r="AE58" s="139"/>
      <c r="AF58" s="642"/>
      <c r="AG58" s="583"/>
      <c r="AH58" s="139"/>
      <c r="AI58" s="637"/>
      <c r="AJ58" s="139"/>
      <c r="AK58" s="416" t="str">
        <f t="shared" si="1"/>
        <v/>
      </c>
      <c r="AL58" s="642"/>
      <c r="AM58" s="637"/>
      <c r="AN58" s="637"/>
      <c r="AO58" s="139"/>
      <c r="AP58" s="647"/>
      <c r="AQ58" s="789"/>
      <c r="AR58" s="789"/>
      <c r="AS58" s="790"/>
    </row>
    <row r="59" spans="1:45" x14ac:dyDescent="0.25">
      <c r="A59" s="628"/>
      <c r="B59" s="668" t="s">
        <v>297</v>
      </c>
      <c r="C59" s="668" t="s">
        <v>297</v>
      </c>
      <c r="D59" s="668" t="s">
        <v>297</v>
      </c>
      <c r="E59" s="710"/>
      <c r="F59" s="711"/>
      <c r="G59" s="668"/>
      <c r="H59" s="712"/>
      <c r="I59" s="712" t="str">
        <f t="shared" si="2"/>
        <v/>
      </c>
      <c r="J59" s="712"/>
      <c r="K59" s="712"/>
      <c r="L59" s="712"/>
      <c r="M59" s="712"/>
      <c r="N59" s="712"/>
      <c r="O59" s="712"/>
      <c r="P59" s="712"/>
      <c r="Q59" s="712"/>
      <c r="R59" s="712"/>
      <c r="S59" s="712"/>
      <c r="T59" s="712"/>
      <c r="U59" s="712"/>
      <c r="V59" s="712"/>
      <c r="W59" s="712"/>
      <c r="X59" s="760" t="str">
        <f t="shared" si="0"/>
        <v/>
      </c>
      <c r="Y59" s="713"/>
      <c r="Z59" s="712"/>
      <c r="AA59" s="712"/>
      <c r="AB59" s="638"/>
      <c r="AC59" s="638"/>
      <c r="AD59" s="638"/>
      <c r="AE59" s="629"/>
      <c r="AF59" s="666"/>
      <c r="AG59" s="666"/>
      <c r="AH59" s="629"/>
      <c r="AI59" s="638"/>
      <c r="AJ59" s="629"/>
      <c r="AK59" s="639" t="str">
        <f t="shared" si="1"/>
        <v/>
      </c>
      <c r="AL59" s="644"/>
      <c r="AM59" s="638"/>
      <c r="AN59" s="638"/>
      <c r="AO59" s="629"/>
      <c r="AP59" s="648"/>
      <c r="AQ59" s="791"/>
      <c r="AR59" s="791"/>
      <c r="AS59" s="792"/>
    </row>
    <row r="60" spans="1:45" x14ac:dyDescent="0.25">
      <c r="A60" s="261"/>
      <c r="B60" s="510" t="s">
        <v>297</v>
      </c>
      <c r="C60" s="510" t="s">
        <v>297</v>
      </c>
      <c r="D60" s="510" t="s">
        <v>297</v>
      </c>
      <c r="E60" s="704"/>
      <c r="F60" s="705"/>
      <c r="G60" s="510"/>
      <c r="H60" s="511"/>
      <c r="I60" s="511" t="str">
        <f t="shared" si="2"/>
        <v/>
      </c>
      <c r="J60" s="511"/>
      <c r="K60" s="511"/>
      <c r="L60" s="511"/>
      <c r="M60" s="511"/>
      <c r="N60" s="511"/>
      <c r="O60" s="511"/>
      <c r="P60" s="511"/>
      <c r="Q60" s="511"/>
      <c r="R60" s="511"/>
      <c r="S60" s="511"/>
      <c r="T60" s="511"/>
      <c r="U60" s="511"/>
      <c r="V60" s="511"/>
      <c r="W60" s="511"/>
      <c r="X60" s="761" t="str">
        <f t="shared" si="0"/>
        <v/>
      </c>
      <c r="Y60" s="1023"/>
      <c r="Z60" s="511"/>
      <c r="AA60" s="511"/>
      <c r="AB60" s="637"/>
      <c r="AC60" s="637"/>
      <c r="AD60" s="637"/>
      <c r="AE60" s="139"/>
      <c r="AF60" s="583"/>
      <c r="AG60" s="583"/>
      <c r="AH60" s="139"/>
      <c r="AI60" s="637"/>
      <c r="AJ60" s="139"/>
      <c r="AK60" s="416" t="str">
        <f t="shared" si="1"/>
        <v/>
      </c>
      <c r="AL60" s="642"/>
      <c r="AM60" s="637"/>
      <c r="AN60" s="637"/>
      <c r="AO60" s="139"/>
      <c r="AP60" s="647"/>
      <c r="AQ60" s="789"/>
      <c r="AR60" s="789"/>
      <c r="AS60" s="790"/>
    </row>
    <row r="61" spans="1:45" ht="14.45" customHeight="1" x14ac:dyDescent="0.25">
      <c r="A61" s="261" t="s">
        <v>656</v>
      </c>
      <c r="B61" s="510">
        <v>38.072425000000003</v>
      </c>
      <c r="C61" s="510">
        <v>-78.489067000000006</v>
      </c>
      <c r="D61" s="510" t="s">
        <v>296</v>
      </c>
      <c r="E61" s="704">
        <v>58.01</v>
      </c>
      <c r="F61" s="669">
        <v>39975</v>
      </c>
      <c r="G61" s="510" t="s">
        <v>289</v>
      </c>
      <c r="H61" s="511" t="s">
        <v>655</v>
      </c>
      <c r="I61" s="511" t="str">
        <f t="shared" si="2"/>
        <v>Filterra</v>
      </c>
      <c r="J61" s="511"/>
      <c r="K61" s="511"/>
      <c r="L61" s="510"/>
      <c r="M61" s="514">
        <f t="shared" ref="M61:M66" si="3">N61+O61+P61</f>
        <v>0.14706552907746498</v>
      </c>
      <c r="N61" s="672">
        <v>0.14654876776668799</v>
      </c>
      <c r="O61" s="514">
        <v>5.1676131077699997E-4</v>
      </c>
      <c r="P61" s="514">
        <v>0</v>
      </c>
      <c r="Q61" s="688">
        <f t="shared" ref="Q61:Q66" si="4">+N61/M61</f>
        <v>0.99648618330876981</v>
      </c>
      <c r="R61" s="674">
        <f>IF(L12="TT",(1.76*N61+0.5*O61+0.13*P61)-AF12,1.76*N61+0.5*O61+0.13*P61)</f>
        <v>0.25818421192475938</v>
      </c>
      <c r="S61" s="674">
        <f>IF(L12="TT",(M61*9.39+N61*6.99+O61*2.36)-AK12,M61*9.39+N61*6.99+O61*2.36)</f>
        <v>2.4065407614199792</v>
      </c>
      <c r="T61" s="674">
        <f>IF(L12="TT",(M61*676.94+N61*101.08+O61*77.38)-AP12,M61*676.94+N61*101.08+O61*77.38)</f>
        <v>114.4076756897839</v>
      </c>
      <c r="U61" s="1022" t="s">
        <v>278</v>
      </c>
      <c r="V61" s="514">
        <v>35.4</v>
      </c>
      <c r="W61" s="675">
        <f t="shared" ref="W61:W66" si="5">IF(V61="NA", 0, (V61)*12/N61/43560)</f>
        <v>6.6544852367699137E-2</v>
      </c>
      <c r="X61" s="641">
        <f t="shared" si="0"/>
        <v>0.5</v>
      </c>
      <c r="Y61" s="706">
        <f t="shared" ref="Y61:Y66" si="6">IF(X61="NA",0,R61*X61)</f>
        <v>0.12909210596237969</v>
      </c>
      <c r="Z61" s="635">
        <f>IF(ISNA(VLOOKUP(J61,'Efficiency Lookup'!$B$2:$C$38,2,FALSE)),0,(VLOOKUP(J61,'Efficiency Lookup'!$B$2:$C$38,2,FALSE)))</f>
        <v>0</v>
      </c>
      <c r="AA61" s="139">
        <f t="shared" ref="AA61:AA66" si="7">R61*Z61</f>
        <v>0</v>
      </c>
      <c r="AB61" s="637">
        <f>IF(ISNA(VLOOKUP(K61,'Efficiency Lookup'!$D$2:$E$35,2,FALSE)),0,VLOOKUP(K61,'Efficiency Lookup'!$D$2:$E$35,2,FALSE))</f>
        <v>0</v>
      </c>
      <c r="AC61" s="646">
        <f t="shared" ref="AC61:AC66" si="8">R61*AB61</f>
        <v>0</v>
      </c>
      <c r="AD61" s="637">
        <f t="shared" ref="AD61:AD66" si="9">IF(U61="RR",IF((0.0304*(W61^5)-0.2619*(W61^4)+0.9161*(W61^3)-1.6837*(W61^2)+1.7072*W61-0.0091)&gt;0.85,0.85,IF((0.0304*(W61^5)-0.2619*(W61^4)+0.9161*(W61^3)-1.6837*(W61^2)+1.7072*W61-0.0091)&lt;0,0,(0.0304*(W61^5)-0.2619*(W61^4)+0.9161*(W61^3)-1.6837*(W61^2)+1.7072*W61-0.0091))),IF((0.0239*(W61^5)-0.2058*(W61^4)+0.7198*(W61^3)-1.3229*(W61^2)+1.3414*W61-0.0072)&gt;0.65,0.65,IF((0.0239*(W61^5)-0.2058*(W61^4)+0.7198*(W61^3)-1.3229*(W61^2)+1.3414*W61-0.0072)&lt;0,0,(0.0239*(W61^5)-0.2058*(W61^4)+0.7198*(W61^3)-1.3229*(W61^2)+1.3414*W61-0.0072))))</f>
        <v>7.6413278947097776E-2</v>
      </c>
      <c r="AE61" s="139">
        <f t="shared" ref="AE61:AE66" si="10">R61*AD61</f>
        <v>1.9728702205543246E-2</v>
      </c>
      <c r="AF61" s="516">
        <f t="shared" ref="AF61:AF66" si="11">MAX(Y61,AA61,AC61,AE61)</f>
        <v>0.12909210596237969</v>
      </c>
      <c r="AG61" s="634">
        <f>IF(ISNA(VLOOKUP(K61,'Efficiency Lookup'!$D$2:$G$35,3,FALSE)),0,VLOOKUP(K61,'Efficiency Lookup'!$D$2:$G$35,3,FALSE))</f>
        <v>0</v>
      </c>
      <c r="AH61" s="139">
        <f t="shared" ref="AH61:AH66" si="12">S61*AG61</f>
        <v>0</v>
      </c>
      <c r="AI61" s="521">
        <f t="shared" ref="AI61:AI66" si="13">IF(U61="RR",IF((0.0308*(W61^5)-0.2562*(W61^4)+0.8634*(W61^3)-1.5285*(W61^2)+1.501*W61-0.013)&gt;0.7,0.7,IF((0.0308*(W61^5)-0.2562*(W61^4)+0.8634*(W61^3)-1.5285*(W61^2)+1.501*W61-0.013)&lt;0,0,(0.0308*(W61^5)-0.2562*(W61^4)+0.8634*(W61^3)-1.5285*(W61^2)+1.501*W61-0.013))),IF((0.0152*(W61^5)-0.131*(W61^4)+0.4581*(W61^3)-0.8418*(W61^2)+0.8536*W61-0.0046)&gt;0.65,0.65,IF((0.0152*(W61^5)-0.131*(W61^4)+0.4581*(W61^3)-0.8418*(W61^2)+0.8536*W61-0.0046)&lt;0,0,(0.0152*(W61^5)-0.131*(W61^4)+0.4581*(W61^3)-0.8418*(W61^2)+0.8536*W61-0.0046))))</f>
        <v>4.8607454284663898E-2</v>
      </c>
      <c r="AJ61" s="1005">
        <f t="shared" ref="AJ61:AJ66" si="14">S61*AI61</f>
        <v>0.11697582004490188</v>
      </c>
      <c r="AK61" s="416">
        <f t="shared" si="1"/>
        <v>0.11697582004490188</v>
      </c>
      <c r="AL61" s="642">
        <f>IF(ISNA(VLOOKUP(K61,'Efficiency Lookup'!$D$2:$G$35,4,FALSE)),0,VLOOKUP(K61,'Efficiency Lookup'!$D$2:$G$35,4,FALSE))</f>
        <v>0</v>
      </c>
      <c r="AM61" s="139">
        <f t="shared" ref="AM61:AM66" si="15">T61*AL61</f>
        <v>0</v>
      </c>
      <c r="AN61" s="521">
        <f t="shared" ref="AN61:AN66" si="16">IF(U61="RR",IF((0.0326*(W61^5)-0.2806*(W61^4)+0.9816*(W61^3)-1.8039*(W61^2)+1.8292*W61-0.0098)&gt;0.85,0.85,IF((0.0326*(W61^5)-0.2806*(W61^4)+0.9816*(W61^3)-1.8039*(W61^2)+1.8292*W61-0.0098)&lt;0,0,(0.0326*(W61^5)-0.2806*(W61^4)+0.9816*(W61^3)-1.8039*(W61^2)+1.8292*W61-0.0098))),IF((0.0304*(W61^5)-0.2619*(W61^4)+0.9161*(W61^3)-1.6837*(W61^2)+1.7072*W61-0.0091)&gt;0.8,0.8,IF((0.0304*(W61^5)-0.2619*(W61^4)+0.9161*(W61^3)-1.6837*(W61^2)+1.7072*W61-0.0091)&lt;0,0,(0.0304*(W61^5)-0.2619*(W61^4)+0.9161*(W61^3)-1.6837*(W61^2)+1.7072*W61-0.0091))))</f>
        <v>9.7314438240993895E-2</v>
      </c>
      <c r="AO61" s="1005">
        <f t="shared" ref="AO61:AO66" si="17">T61*AN61</f>
        <v>11.133518690209135</v>
      </c>
      <c r="AP61" s="647">
        <f t="shared" ref="AP61:AP66" si="18">IF(AK61=AH61,AM61,AO61)</f>
        <v>11.133518690209135</v>
      </c>
      <c r="AQ61" s="789">
        <f t="shared" ref="AQ61:AQ66" si="19">IF(AF61&lt;0,0,AF61)</f>
        <v>0.12909210596237969</v>
      </c>
      <c r="AR61" s="789">
        <f t="shared" ref="AR61:AR66" si="20">IF(AK61&lt;0,0,AK61)</f>
        <v>0.11697582004490188</v>
      </c>
      <c r="AS61" s="790">
        <f>IF(AP61&lt;0,0,AP61)</f>
        <v>11.133518690209135</v>
      </c>
    </row>
    <row r="62" spans="1:45" ht="14.45" customHeight="1" x14ac:dyDescent="0.25">
      <c r="A62" s="261" t="s">
        <v>656</v>
      </c>
      <c r="B62" s="510">
        <v>38.072620000000001</v>
      </c>
      <c r="C62" s="510">
        <v>-78.489282000000003</v>
      </c>
      <c r="D62" s="510" t="s">
        <v>296</v>
      </c>
      <c r="E62" s="704">
        <v>58.03</v>
      </c>
      <c r="F62" s="669">
        <v>39975</v>
      </c>
      <c r="G62" s="510" t="s">
        <v>289</v>
      </c>
      <c r="H62" s="511" t="s">
        <v>655</v>
      </c>
      <c r="I62" s="511" t="str">
        <f t="shared" si="2"/>
        <v>Filterra</v>
      </c>
      <c r="J62" s="511"/>
      <c r="K62" s="511"/>
      <c r="L62" s="510"/>
      <c r="M62" s="514">
        <f t="shared" si="3"/>
        <v>1.33481248845E-2</v>
      </c>
      <c r="N62" s="672">
        <v>1.33481248845E-2</v>
      </c>
      <c r="O62" s="514">
        <v>0</v>
      </c>
      <c r="P62" s="514">
        <v>0</v>
      </c>
      <c r="Q62" s="688">
        <f t="shared" si="4"/>
        <v>1</v>
      </c>
      <c r="R62" s="674">
        <f>IF(L13="TT",(1.76*N62+0.5*O62+0.13*P62)-AF13,1.76*N62+0.5*O62+0.13*P62)</f>
        <v>2.3492699796720001E-2</v>
      </c>
      <c r="S62" s="674">
        <f>IF(L13="TT",(M62*9.39+N62*6.99+O62*2.36)-AK13,M62*9.39+N62*6.99+O62*2.36)</f>
        <v>0.21864228560811</v>
      </c>
      <c r="T62" s="674">
        <f>IF(L13="TT",(M62*676.94+N62*101.08+O62*77.38)-AP13,M62*676.94+N62*101.08+O62*77.38)</f>
        <v>10.385108122638691</v>
      </c>
      <c r="U62" s="1022" t="s">
        <v>278</v>
      </c>
      <c r="V62" s="514">
        <v>35.4</v>
      </c>
      <c r="W62" s="675">
        <f t="shared" si="5"/>
        <v>0.73059446177542831</v>
      </c>
      <c r="X62" s="641">
        <f t="shared" si="0"/>
        <v>0.5</v>
      </c>
      <c r="Y62" s="706">
        <f t="shared" si="6"/>
        <v>1.1746349898360001E-2</v>
      </c>
      <c r="Z62" s="635">
        <f>IF(ISNA(VLOOKUP(J62,'Efficiency Lookup'!$B$2:$C$38,2,FALSE)),0,(VLOOKUP(J62,'Efficiency Lookup'!$B$2:$C$38,2,FALSE)))</f>
        <v>0</v>
      </c>
      <c r="AA62" s="139">
        <f t="shared" si="7"/>
        <v>0</v>
      </c>
      <c r="AB62" s="637">
        <f>IF(ISNA(VLOOKUP(K62,'Efficiency Lookup'!$D$2:$E$35,2,FALSE)),0,VLOOKUP(K62,'Efficiency Lookup'!$D$2:$E$35,2,FALSE))</f>
        <v>0</v>
      </c>
      <c r="AC62" s="646">
        <f t="shared" si="8"/>
        <v>0</v>
      </c>
      <c r="AD62" s="637">
        <f t="shared" si="9"/>
        <v>0.49373710235912105</v>
      </c>
      <c r="AE62" s="139">
        <f t="shared" si="10"/>
        <v>1.1599217524225245E-2</v>
      </c>
      <c r="AF62" s="516">
        <f t="shared" si="11"/>
        <v>1.1746349898360001E-2</v>
      </c>
      <c r="AG62" s="634">
        <f>IF(ISNA(VLOOKUP(K62,'Efficiency Lookup'!$D$2:$G$35,3,FALSE)),0,VLOOKUP(K62,'Efficiency Lookup'!$D$2:$G$35,3,FALSE))</f>
        <v>0</v>
      </c>
      <c r="AH62" s="139">
        <f t="shared" si="12"/>
        <v>0</v>
      </c>
      <c r="AI62" s="521">
        <f t="shared" si="13"/>
        <v>0.31419460792164688</v>
      </c>
      <c r="AJ62" s="1005">
        <f t="shared" si="14"/>
        <v>6.8696227201732865E-2</v>
      </c>
      <c r="AK62" s="416">
        <f t="shared" si="1"/>
        <v>6.8696227201732865E-2</v>
      </c>
      <c r="AL62" s="642">
        <f>IF(ISNA(VLOOKUP(K62,'Efficiency Lookup'!$D$2:$G$35,4,FALSE)),0,VLOOKUP(K62,'Efficiency Lookup'!$D$2:$G$35,4,FALSE))</f>
        <v>0</v>
      </c>
      <c r="AM62" s="139">
        <f t="shared" si="15"/>
        <v>0</v>
      </c>
      <c r="AN62" s="521">
        <f t="shared" si="16"/>
        <v>0.62842533305886705</v>
      </c>
      <c r="AO62" s="1005">
        <f t="shared" si="17"/>
        <v>6.5262650308215653</v>
      </c>
      <c r="AP62" s="647">
        <f t="shared" si="18"/>
        <v>6.5262650308215653</v>
      </c>
      <c r="AQ62" s="789">
        <f t="shared" si="19"/>
        <v>1.1746349898360001E-2</v>
      </c>
      <c r="AR62" s="789">
        <f t="shared" si="20"/>
        <v>6.8696227201732865E-2</v>
      </c>
      <c r="AS62" s="790">
        <f>IF(AP62&lt;0,0,AP62)</f>
        <v>6.5262650308215653</v>
      </c>
    </row>
    <row r="63" spans="1:45" ht="14.45" customHeight="1" x14ac:dyDescent="0.25">
      <c r="A63" s="261" t="s">
        <v>656</v>
      </c>
      <c r="B63" s="510">
        <v>38.072403999999999</v>
      </c>
      <c r="C63" s="510">
        <v>-78.488782999999998</v>
      </c>
      <c r="D63" s="510" t="s">
        <v>296</v>
      </c>
      <c r="E63" s="704">
        <v>58.04</v>
      </c>
      <c r="F63" s="669">
        <v>39975</v>
      </c>
      <c r="G63" s="510" t="s">
        <v>289</v>
      </c>
      <c r="H63" s="511" t="s">
        <v>655</v>
      </c>
      <c r="I63" s="511" t="str">
        <f t="shared" si="2"/>
        <v>Filterra</v>
      </c>
      <c r="J63" s="511"/>
      <c r="K63" s="511"/>
      <c r="L63" s="510"/>
      <c r="M63" s="514">
        <f t="shared" si="3"/>
        <v>6.7360993089945018E-2</v>
      </c>
      <c r="N63" s="672">
        <v>6.7269135117541012E-2</v>
      </c>
      <c r="O63" s="514">
        <v>9.1857972403999998E-5</v>
      </c>
      <c r="P63" s="514">
        <v>0</v>
      </c>
      <c r="Q63" s="688">
        <f t="shared" si="4"/>
        <v>0.99863633286579745</v>
      </c>
      <c r="R63" s="674">
        <f>IF(L61="TT",(1.76*N63+0.5*O63+0.13*P63)-AF61,1.76*N63+0.5*O63+0.13*P63)</f>
        <v>0.11843960679307418</v>
      </c>
      <c r="S63" s="674">
        <f>IF(L61="TT",(M63*9.39+N63*6.99+O63*2.36)-AK61,M63*9.39+N63*6.99+O63*2.36)</f>
        <v>1.102947764401069</v>
      </c>
      <c r="T63" s="674">
        <f>IF(L61="TT",(M63*676.94+N63*101.08+O63*77.38)-AP61,M63*676.94+N63*101.08+O63*77.38)</f>
        <v>52.406022809893059</v>
      </c>
      <c r="U63" s="1022" t="s">
        <v>278</v>
      </c>
      <c r="V63" s="514">
        <v>35.4</v>
      </c>
      <c r="W63" s="675">
        <f t="shared" si="5"/>
        <v>0.14497088595925089</v>
      </c>
      <c r="X63" s="641">
        <f t="shared" si="0"/>
        <v>0.5</v>
      </c>
      <c r="Y63" s="706">
        <f t="shared" si="6"/>
        <v>5.9219803396537089E-2</v>
      </c>
      <c r="Z63" s="635">
        <f>IF(ISNA(VLOOKUP(J63,'Efficiency Lookup'!$B$2:$C$38,2,FALSE)),0,(VLOOKUP(J63,'Efficiency Lookup'!$B$2:$C$38,2,FALSE)))</f>
        <v>0</v>
      </c>
      <c r="AA63" s="139">
        <f t="shared" si="7"/>
        <v>0</v>
      </c>
      <c r="AB63" s="637">
        <f>IF(ISNA(VLOOKUP(K63,'Efficiency Lookup'!$D$2:$E$35,2,FALSE)),0,VLOOKUP(K63,'Efficiency Lookup'!$D$2:$E$35,2,FALSE))</f>
        <v>0</v>
      </c>
      <c r="AC63" s="646">
        <f t="shared" si="8"/>
        <v>0</v>
      </c>
      <c r="AD63" s="637">
        <f t="shared" si="9"/>
        <v>0.16156485028062698</v>
      </c>
      <c r="AE63" s="139">
        <f t="shared" si="10"/>
        <v>1.9135677338819358E-2</v>
      </c>
      <c r="AF63" s="516">
        <f t="shared" si="11"/>
        <v>5.9219803396537089E-2</v>
      </c>
      <c r="AG63" s="634">
        <f>IF(ISNA(VLOOKUP(K63,'Efficiency Lookup'!$D$2:$G$35,3,FALSE)),0,VLOOKUP(K63,'Efficiency Lookup'!$D$2:$G$35,3,FALSE))</f>
        <v>0</v>
      </c>
      <c r="AH63" s="139">
        <f t="shared" si="12"/>
        <v>0</v>
      </c>
      <c r="AI63" s="521">
        <f t="shared" si="13"/>
        <v>0.10279425512536397</v>
      </c>
      <c r="AJ63" s="1005">
        <f t="shared" si="14"/>
        <v>0.11337669388379332</v>
      </c>
      <c r="AK63" s="416">
        <f t="shared" si="1"/>
        <v>0.11337669388379332</v>
      </c>
      <c r="AL63" s="642">
        <f>IF(ISNA(VLOOKUP(K63,'Efficiency Lookup'!$D$2:$G$35,4,FALSE)),0,VLOOKUP(K63,'Efficiency Lookup'!$D$2:$G$35,4,FALSE))</f>
        <v>0</v>
      </c>
      <c r="AM63" s="139">
        <f t="shared" si="15"/>
        <v>0</v>
      </c>
      <c r="AN63" s="521">
        <f t="shared" si="16"/>
        <v>0.20568614808562036</v>
      </c>
      <c r="AO63" s="1005">
        <f t="shared" si="17"/>
        <v>10.779192968254062</v>
      </c>
      <c r="AP63" s="647">
        <f t="shared" si="18"/>
        <v>10.779192968254062</v>
      </c>
      <c r="AQ63" s="789">
        <f t="shared" si="19"/>
        <v>5.9219803396537089E-2</v>
      </c>
      <c r="AR63" s="789">
        <f t="shared" si="20"/>
        <v>0.11337669388379332</v>
      </c>
      <c r="AS63" s="790">
        <f>IF(AP63&lt;0,0,AP63)</f>
        <v>10.779192968254062</v>
      </c>
    </row>
    <row r="64" spans="1:45" ht="14.45" customHeight="1" x14ac:dyDescent="0.25">
      <c r="A64" s="261" t="s">
        <v>656</v>
      </c>
      <c r="B64" s="510">
        <v>38.071981000000001</v>
      </c>
      <c r="C64" s="510">
        <v>-78.488335000000006</v>
      </c>
      <c r="D64" s="510" t="s">
        <v>360</v>
      </c>
      <c r="E64" s="704">
        <v>58.06</v>
      </c>
      <c r="F64" s="669">
        <v>39975</v>
      </c>
      <c r="G64" s="510" t="s">
        <v>289</v>
      </c>
      <c r="H64" s="511" t="s">
        <v>655</v>
      </c>
      <c r="I64" s="511" t="str">
        <f t="shared" si="2"/>
        <v>Filterra</v>
      </c>
      <c r="J64" s="511"/>
      <c r="K64" s="511"/>
      <c r="L64" s="510"/>
      <c r="M64" s="514">
        <f t="shared" si="3"/>
        <v>0.131549289692</v>
      </c>
      <c r="N64" s="672">
        <v>0.131549289692</v>
      </c>
      <c r="O64" s="514">
        <v>0</v>
      </c>
      <c r="P64" s="514">
        <v>0</v>
      </c>
      <c r="Q64" s="688">
        <f t="shared" si="4"/>
        <v>1</v>
      </c>
      <c r="R64" s="674">
        <f>IF(L62="TT",(1.76*N64+0.5*O64+0.13*P64)-AF62,1.76*N64+0.5*O64+0.13*P64)</f>
        <v>0.23152674985791999</v>
      </c>
      <c r="S64" s="674">
        <f>IF(L62="TT",(M64*9.39+N64*6.99+O64*2.36)-AK62,M64*9.39+N64*6.99+O64*2.36)</f>
        <v>2.1547773651549598</v>
      </c>
      <c r="T64" s="674">
        <f>IF(L62="TT",(M64*676.94+N64*101.08+O64*77.38)-AP62,M64*676.94+N64*101.08+O64*77.38)</f>
        <v>102.34797836616984</v>
      </c>
      <c r="U64" s="1022" t="s">
        <v>278</v>
      </c>
      <c r="V64" s="514">
        <v>35.4</v>
      </c>
      <c r="W64" s="675">
        <f t="shared" si="5"/>
        <v>7.4132411801958495E-2</v>
      </c>
      <c r="X64" s="641">
        <f t="shared" si="0"/>
        <v>0.5</v>
      </c>
      <c r="Y64" s="706">
        <f t="shared" si="6"/>
        <v>0.11576337492895999</v>
      </c>
      <c r="Z64" s="635">
        <f>IF(ISNA(VLOOKUP(J64,'Efficiency Lookup'!$B$2:$C$38,2,FALSE)),0,(VLOOKUP(J64,'Efficiency Lookup'!$B$2:$C$38,2,FALSE)))</f>
        <v>0</v>
      </c>
      <c r="AA64" s="139">
        <f t="shared" si="7"/>
        <v>0</v>
      </c>
      <c r="AB64" s="637">
        <f>IF(ISNA(VLOOKUP(K64,'Efficiency Lookup'!$D$2:$E$35,2,FALSE)),0,VLOOKUP(K64,'Efficiency Lookup'!$D$2:$E$35,2,FALSE))</f>
        <v>0</v>
      </c>
      <c r="AC64" s="646">
        <f t="shared" si="8"/>
        <v>0</v>
      </c>
      <c r="AD64" s="637">
        <f t="shared" si="9"/>
        <v>8.5258155572019698E-2</v>
      </c>
      <c r="AE64" s="139">
        <f t="shared" si="10"/>
        <v>1.973954365847063E-2</v>
      </c>
      <c r="AF64" s="516">
        <f t="shared" si="11"/>
        <v>0.11576337492895999</v>
      </c>
      <c r="AG64" s="634">
        <f>IF(ISNA(VLOOKUP(K64,'Efficiency Lookup'!$D$2:$G$35,3,FALSE)),0,VLOOKUP(K64,'Efficiency Lookup'!$D$2:$G$35,3,FALSE))</f>
        <v>0</v>
      </c>
      <c r="AH64" s="139">
        <f t="shared" si="12"/>
        <v>0</v>
      </c>
      <c r="AI64" s="521">
        <f t="shared" si="13"/>
        <v>5.4235927429635518E-2</v>
      </c>
      <c r="AJ64" s="1005">
        <f t="shared" si="14"/>
        <v>0.11686634880356563</v>
      </c>
      <c r="AK64" s="416">
        <f t="shared" si="1"/>
        <v>0.11686634880356563</v>
      </c>
      <c r="AL64" s="642">
        <f>IF(ISNA(VLOOKUP(K64,'Efficiency Lookup'!$D$2:$G$35,4,FALSE)),0,VLOOKUP(K64,'Efficiency Lookup'!$D$2:$G$35,4,FALSE))</f>
        <v>0</v>
      </c>
      <c r="AM64" s="139">
        <f t="shared" si="15"/>
        <v>0</v>
      </c>
      <c r="AN64" s="521">
        <f t="shared" si="16"/>
        <v>0.10857126757768537</v>
      </c>
      <c r="AO64" s="1005">
        <f t="shared" si="17"/>
        <v>11.11204974522858</v>
      </c>
      <c r="AP64" s="647">
        <f t="shared" si="18"/>
        <v>11.11204974522858</v>
      </c>
      <c r="AQ64" s="789">
        <f t="shared" si="19"/>
        <v>0.11576337492895999</v>
      </c>
      <c r="AR64" s="789">
        <f t="shared" si="20"/>
        <v>0.11686634880356563</v>
      </c>
      <c r="AS64" s="790">
        <f>IF(AP64&lt;0,0,AP64)</f>
        <v>11.11204974522858</v>
      </c>
    </row>
    <row r="65" spans="1:45" ht="14.45" customHeight="1" x14ac:dyDescent="0.25">
      <c r="A65" s="261" t="s">
        <v>656</v>
      </c>
      <c r="B65" s="510">
        <v>38.072544999999998</v>
      </c>
      <c r="C65" s="510">
        <v>-78.489191000000005</v>
      </c>
      <c r="D65" s="510" t="s">
        <v>296</v>
      </c>
      <c r="E65" s="704">
        <v>58.02</v>
      </c>
      <c r="F65" s="669">
        <v>39975</v>
      </c>
      <c r="G65" s="510" t="s">
        <v>289</v>
      </c>
      <c r="H65" s="511" t="s">
        <v>657</v>
      </c>
      <c r="I65" s="511" t="str">
        <f t="shared" si="2"/>
        <v>Filterra</v>
      </c>
      <c r="J65" s="511"/>
      <c r="K65" s="511"/>
      <c r="L65" s="510"/>
      <c r="M65" s="514">
        <f t="shared" si="3"/>
        <v>6.8500461172347996E-2</v>
      </c>
      <c r="N65" s="672">
        <v>6.8044449185600001E-2</v>
      </c>
      <c r="O65" s="514">
        <v>4.5601198674800002E-4</v>
      </c>
      <c r="P65" s="514">
        <v>0</v>
      </c>
      <c r="Q65" s="688">
        <f t="shared" si="4"/>
        <v>0.99334293552271624</v>
      </c>
      <c r="R65" s="674">
        <f>IF(L63="TT",(1.76*N65+0.5*O65+0.13*P65)-AF63,1.76*N65+0.5*O65+0.13*P65)</f>
        <v>0.11998623656003</v>
      </c>
      <c r="S65" s="674">
        <f>IF(L63="TT",(M65*9.39+N65*6.99+O65*2.36)-AK63,M65*9.39+N65*6.99+O65*2.36)</f>
        <v>1.119926218504417</v>
      </c>
      <c r="T65" s="674">
        <f>IF(L63="TT",(M65*676.94+N65*101.08+O65*77.38)-AP63,M65*676.94+N65*101.08+O65*77.38)</f>
        <v>53.283921317224262</v>
      </c>
      <c r="U65" s="1022" t="s">
        <v>278</v>
      </c>
      <c r="V65" s="514">
        <v>47.2</v>
      </c>
      <c r="W65" s="675">
        <f t="shared" si="5"/>
        <v>0.19109207255789454</v>
      </c>
      <c r="X65" s="641">
        <f t="shared" si="0"/>
        <v>0.5</v>
      </c>
      <c r="Y65" s="706">
        <f t="shared" si="6"/>
        <v>5.9993118280015002E-2</v>
      </c>
      <c r="Z65" s="635">
        <f>IF(ISNA(VLOOKUP(J65,'Efficiency Lookup'!$B$2:$C$38,2,FALSE)),0,(VLOOKUP(J65,'Efficiency Lookup'!$B$2:$C$38,2,FALSE)))</f>
        <v>0</v>
      </c>
      <c r="AA65" s="139">
        <f t="shared" si="7"/>
        <v>0</v>
      </c>
      <c r="AB65" s="637">
        <f>IF(ISNA(VLOOKUP(K65,'Efficiency Lookup'!$D$2:$E$35,2,FALSE)),0,VLOOKUP(K65,'Efficiency Lookup'!$D$2:$E$35,2,FALSE))</f>
        <v>0</v>
      </c>
      <c r="AC65" s="646">
        <f t="shared" si="8"/>
        <v>0</v>
      </c>
      <c r="AD65" s="637">
        <f t="shared" si="9"/>
        <v>0.20557805132908913</v>
      </c>
      <c r="AE65" s="139">
        <f t="shared" si="10"/>
        <v>2.466653669832208E-2</v>
      </c>
      <c r="AF65" s="516">
        <f t="shared" si="11"/>
        <v>5.9993118280015002E-2</v>
      </c>
      <c r="AG65" s="634">
        <f>IF(ISNA(VLOOKUP(K65,'Efficiency Lookup'!$D$2:$G$35,3,FALSE)),0,VLOOKUP(K65,'Efficiency Lookup'!$D$2:$G$35,3,FALSE))</f>
        <v>0</v>
      </c>
      <c r="AH65" s="139">
        <f t="shared" si="12"/>
        <v>0</v>
      </c>
      <c r="AI65" s="521">
        <f t="shared" si="13"/>
        <v>0.13080266628200943</v>
      </c>
      <c r="AJ65" s="1005">
        <f t="shared" si="14"/>
        <v>0.14648933541950604</v>
      </c>
      <c r="AK65" s="416">
        <f t="shared" si="1"/>
        <v>0.14648933541950604</v>
      </c>
      <c r="AL65" s="642">
        <f>IF(ISNA(VLOOKUP(K65,'Efficiency Lookup'!$D$2:$G$35,4,FALSE)),0,VLOOKUP(K65,'Efficiency Lookup'!$D$2:$G$35,4,FALSE))</f>
        <v>0</v>
      </c>
      <c r="AM65" s="139">
        <f t="shared" si="15"/>
        <v>0</v>
      </c>
      <c r="AN65" s="521">
        <f t="shared" si="16"/>
        <v>0.2617011164938855</v>
      </c>
      <c r="AO65" s="1005">
        <f t="shared" si="17"/>
        <v>13.944461699889935</v>
      </c>
      <c r="AP65" s="647">
        <f t="shared" si="18"/>
        <v>13.944461699889935</v>
      </c>
      <c r="AQ65" s="789">
        <f t="shared" si="19"/>
        <v>5.9993118280015002E-2</v>
      </c>
      <c r="AR65" s="789">
        <f t="shared" si="20"/>
        <v>0.14648933541950604</v>
      </c>
      <c r="AS65" s="790">
        <v>47.2</v>
      </c>
    </row>
    <row r="66" spans="1:45" ht="14.45" customHeight="1" x14ac:dyDescent="0.25">
      <c r="A66" s="261" t="s">
        <v>656</v>
      </c>
      <c r="B66" s="510">
        <v>38.072139</v>
      </c>
      <c r="C66" s="510">
        <v>-78.488760999999997</v>
      </c>
      <c r="D66" s="510" t="s">
        <v>296</v>
      </c>
      <c r="E66" s="704">
        <v>58.05</v>
      </c>
      <c r="F66" s="669">
        <v>39975</v>
      </c>
      <c r="G66" s="510" t="s">
        <v>289</v>
      </c>
      <c r="H66" s="511" t="s">
        <v>657</v>
      </c>
      <c r="I66" s="511" t="str">
        <f t="shared" si="2"/>
        <v>Filterra</v>
      </c>
      <c r="J66" s="511"/>
      <c r="K66" s="511"/>
      <c r="L66" s="510"/>
      <c r="M66" s="514">
        <f t="shared" si="3"/>
        <v>0.150470833597765</v>
      </c>
      <c r="N66" s="672">
        <v>0.15022917170974201</v>
      </c>
      <c r="O66" s="514">
        <v>2.41661888023E-4</v>
      </c>
      <c r="P66" s="514">
        <v>0</v>
      </c>
      <c r="Q66" s="688">
        <f t="shared" si="4"/>
        <v>0.99839396192441521</v>
      </c>
      <c r="R66" s="674">
        <f>IF(L64="TT",(1.76*N66+0.5*O66+0.13*P66)-AF64,1.76*N66+0.5*O66+0.13*P66)</f>
        <v>0.26452417315315746</v>
      </c>
      <c r="S66" s="674">
        <f>IF(L64="TT",(M66*9.39+N66*6.99+O66*2.36)-AK64,M66*9.39+N66*6.99+O66*2.36)</f>
        <v>2.4635933597898441</v>
      </c>
      <c r="T66" s="674">
        <f>IF(L64="TT",(M66*676.94+N66*101.08+O66*77.38)-AP64,M66*676.94+N66*101.08+O66*77.38)</f>
        <v>117.063590568987</v>
      </c>
      <c r="U66" s="1022" t="s">
        <v>278</v>
      </c>
      <c r="V66" s="514">
        <v>47.2</v>
      </c>
      <c r="W66" s="675">
        <f t="shared" si="5"/>
        <v>8.6552795791614179E-2</v>
      </c>
      <c r="X66" s="641">
        <f t="shared" si="0"/>
        <v>0.5</v>
      </c>
      <c r="Y66" s="706">
        <f t="shared" si="6"/>
        <v>0.13226208657657873</v>
      </c>
      <c r="Z66" s="635">
        <f>IF(ISNA(VLOOKUP(J66,'Efficiency Lookup'!$B$2:$C$38,2,FALSE)),0,(VLOOKUP(J66,'Efficiency Lookup'!$B$2:$C$38,2,FALSE)))</f>
        <v>0</v>
      </c>
      <c r="AA66" s="139">
        <f t="shared" si="7"/>
        <v>0</v>
      </c>
      <c r="AB66" s="637">
        <f>IF(ISNA(VLOOKUP(K66,'Efficiency Lookup'!$D$2:$E$35,2,FALSE)),0,VLOOKUP(K66,'Efficiency Lookup'!$D$2:$E$35,2,FALSE))</f>
        <v>0</v>
      </c>
      <c r="AC66" s="646">
        <f t="shared" si="8"/>
        <v>0</v>
      </c>
      <c r="AD66" s="637">
        <f t="shared" si="9"/>
        <v>9.94468501832802E-2</v>
      </c>
      <c r="AE66" s="139">
        <f t="shared" si="10"/>
        <v>2.6306095817418121E-2</v>
      </c>
      <c r="AF66" s="516">
        <f t="shared" si="11"/>
        <v>0.13226208657657873</v>
      </c>
      <c r="AG66" s="634">
        <f>IF(ISNA(VLOOKUP(K66,'Efficiency Lookup'!$D$2:$G$35,3,FALSE)),0,VLOOKUP(K66,'Efficiency Lookup'!$D$2:$G$35,3,FALSE))</f>
        <v>0</v>
      </c>
      <c r="AH66" s="139">
        <f t="shared" si="12"/>
        <v>0</v>
      </c>
      <c r="AI66" s="521">
        <f t="shared" si="13"/>
        <v>6.3264971607560339E-2</v>
      </c>
      <c r="AJ66" s="1005">
        <f t="shared" si="14"/>
        <v>0.15585916395967866</v>
      </c>
      <c r="AK66" s="416">
        <f t="shared" si="1"/>
        <v>0.15585916395967866</v>
      </c>
      <c r="AL66" s="642">
        <f>IF(ISNA(VLOOKUP(K66,'Efficiency Lookup'!$D$2:$G$35,4,FALSE)),0,VLOOKUP(K66,'Efficiency Lookup'!$D$2:$G$35,4,FALSE))</f>
        <v>0</v>
      </c>
      <c r="AM66" s="139">
        <f t="shared" si="15"/>
        <v>0</v>
      </c>
      <c r="AN66" s="521">
        <f t="shared" si="16"/>
        <v>0.12662913484851762</v>
      </c>
      <c r="AO66" s="1005">
        <f t="shared" si="17"/>
        <v>14.82366119601191</v>
      </c>
      <c r="AP66" s="647">
        <f t="shared" si="18"/>
        <v>14.82366119601191</v>
      </c>
      <c r="AQ66" s="789">
        <f t="shared" si="19"/>
        <v>0.13226208657657873</v>
      </c>
      <c r="AR66" s="789">
        <f t="shared" si="20"/>
        <v>0.15585916395967866</v>
      </c>
      <c r="AS66" s="790">
        <v>47.2</v>
      </c>
    </row>
    <row r="67" spans="1:45" x14ac:dyDescent="0.25">
      <c r="A67" s="261"/>
      <c r="B67" s="510" t="s">
        <v>297</v>
      </c>
      <c r="C67" s="510" t="s">
        <v>297</v>
      </c>
      <c r="D67" s="510" t="s">
        <v>297</v>
      </c>
      <c r="E67" s="511"/>
      <c r="F67" s="705"/>
      <c r="G67" s="510"/>
      <c r="H67" s="511"/>
      <c r="I67" s="261" t="str">
        <f t="shared" si="2"/>
        <v/>
      </c>
      <c r="J67" s="511"/>
      <c r="K67" s="511"/>
      <c r="L67" s="510"/>
      <c r="M67" s="510"/>
      <c r="N67" s="672"/>
      <c r="O67" s="514"/>
      <c r="P67" s="514" t="s">
        <v>297</v>
      </c>
      <c r="Q67" s="688"/>
      <c r="R67" s="674"/>
      <c r="S67" s="674"/>
      <c r="T67" s="674"/>
      <c r="U67" s="1022"/>
      <c r="V67" s="514"/>
      <c r="W67" s="675"/>
      <c r="X67" s="636" t="str">
        <f t="shared" si="0"/>
        <v/>
      </c>
      <c r="Y67" s="706"/>
      <c r="Z67" s="640"/>
      <c r="AA67" s="1022"/>
      <c r="AB67" s="637"/>
      <c r="AC67" s="637"/>
      <c r="AD67" s="637"/>
      <c r="AE67" s="139"/>
      <c r="AF67" s="642"/>
      <c r="AG67" s="583"/>
      <c r="AH67" s="139"/>
      <c r="AI67" s="637"/>
      <c r="AJ67" s="139"/>
      <c r="AK67" s="416" t="str">
        <f t="shared" si="1"/>
        <v/>
      </c>
      <c r="AL67" s="642"/>
      <c r="AM67" s="637"/>
      <c r="AN67" s="637"/>
      <c r="AO67" s="139"/>
      <c r="AP67" s="647"/>
      <c r="AQ67" s="789"/>
      <c r="AR67" s="789"/>
      <c r="AS67" s="790"/>
    </row>
    <row r="68" spans="1:45" x14ac:dyDescent="0.25">
      <c r="A68" s="628"/>
      <c r="B68" s="668" t="s">
        <v>297</v>
      </c>
      <c r="C68" s="668" t="s">
        <v>297</v>
      </c>
      <c r="D68" s="668" t="s">
        <v>297</v>
      </c>
      <c r="E68" s="710"/>
      <c r="F68" s="716"/>
      <c r="G68" s="668"/>
      <c r="H68" s="712"/>
      <c r="I68" s="712" t="str">
        <f t="shared" si="2"/>
        <v/>
      </c>
      <c r="J68" s="712"/>
      <c r="K68" s="712"/>
      <c r="L68" s="712"/>
      <c r="M68" s="712"/>
      <c r="N68" s="712"/>
      <c r="O68" s="712"/>
      <c r="P68" s="712"/>
      <c r="Q68" s="712"/>
      <c r="R68" s="712"/>
      <c r="S68" s="712"/>
      <c r="T68" s="712"/>
      <c r="U68" s="712"/>
      <c r="V68" s="712"/>
      <c r="W68" s="712"/>
      <c r="X68" s="760" t="str">
        <f t="shared" si="0"/>
        <v/>
      </c>
      <c r="Y68" s="713"/>
      <c r="Z68" s="712"/>
      <c r="AA68" s="712"/>
      <c r="AB68" s="638"/>
      <c r="AC68" s="638"/>
      <c r="AD68" s="638"/>
      <c r="AE68" s="629"/>
      <c r="AF68" s="666"/>
      <c r="AG68" s="666"/>
      <c r="AH68" s="629"/>
      <c r="AI68" s="638"/>
      <c r="AJ68" s="629"/>
      <c r="AK68" s="639" t="str">
        <f t="shared" si="1"/>
        <v/>
      </c>
      <c r="AL68" s="644"/>
      <c r="AM68" s="638"/>
      <c r="AN68" s="638"/>
      <c r="AO68" s="629"/>
      <c r="AP68" s="648"/>
      <c r="AQ68" s="791"/>
      <c r="AR68" s="791"/>
      <c r="AS68" s="792"/>
    </row>
    <row r="69" spans="1:45" ht="14.45" customHeight="1" x14ac:dyDescent="0.25">
      <c r="A69" s="261"/>
      <c r="B69" s="510" t="s">
        <v>297</v>
      </c>
      <c r="C69" s="510" t="s">
        <v>297</v>
      </c>
      <c r="D69" s="510" t="s">
        <v>297</v>
      </c>
      <c r="E69" s="704"/>
      <c r="F69" s="692"/>
      <c r="G69" s="510"/>
      <c r="H69" s="511"/>
      <c r="I69" s="261" t="str">
        <f t="shared" si="2"/>
        <v/>
      </c>
      <c r="J69" s="511"/>
      <c r="K69" s="511"/>
      <c r="L69" s="510"/>
      <c r="M69" s="510"/>
      <c r="N69" s="672"/>
      <c r="O69" s="514"/>
      <c r="P69" s="514" t="s">
        <v>297</v>
      </c>
      <c r="Q69" s="688"/>
      <c r="R69" s="674"/>
      <c r="S69" s="674"/>
      <c r="T69" s="674"/>
      <c r="U69" s="1022"/>
      <c r="V69" s="514"/>
      <c r="W69" s="675"/>
      <c r="X69" s="636" t="str">
        <f t="shared" si="0"/>
        <v/>
      </c>
      <c r="Y69" s="706"/>
      <c r="Z69" s="640"/>
      <c r="AA69" s="1022"/>
      <c r="AB69" s="637"/>
      <c r="AC69" s="637"/>
      <c r="AD69" s="637"/>
      <c r="AE69" s="139"/>
      <c r="AF69" s="642"/>
      <c r="AG69" s="583"/>
      <c r="AH69" s="139"/>
      <c r="AI69" s="637"/>
      <c r="AJ69" s="139"/>
      <c r="AK69" s="416" t="str">
        <f t="shared" si="1"/>
        <v/>
      </c>
      <c r="AL69" s="642"/>
      <c r="AM69" s="637"/>
      <c r="AN69" s="637"/>
      <c r="AO69" s="139"/>
      <c r="AP69" s="647"/>
      <c r="AQ69" s="789"/>
      <c r="AR69" s="789"/>
      <c r="AS69" s="790"/>
    </row>
    <row r="70" spans="1:45" x14ac:dyDescent="0.25">
      <c r="A70" s="261" t="s">
        <v>658</v>
      </c>
      <c r="B70" s="510">
        <v>38.098581000000003</v>
      </c>
      <c r="C70" s="510">
        <v>-78.462766999999999</v>
      </c>
      <c r="D70" s="510" t="s">
        <v>286</v>
      </c>
      <c r="E70" s="511">
        <v>148.01</v>
      </c>
      <c r="F70" s="692">
        <v>38718</v>
      </c>
      <c r="G70" s="510" t="s">
        <v>331</v>
      </c>
      <c r="H70" s="670"/>
      <c r="I70" s="511"/>
      <c r="J70" s="511" t="s">
        <v>367</v>
      </c>
      <c r="K70" s="511" t="s">
        <v>334</v>
      </c>
      <c r="L70" s="671"/>
      <c r="M70" s="671">
        <f>N70+O70+P70</f>
        <v>0.67517482678650009</v>
      </c>
      <c r="N70" s="672">
        <v>0.64055627050200004</v>
      </c>
      <c r="O70" s="514">
        <v>3.4618556284500002E-2</v>
      </c>
      <c r="P70" s="514">
        <v>0</v>
      </c>
      <c r="Q70" s="673">
        <f>+N70/M70</f>
        <v>0.94872652991334505</v>
      </c>
      <c r="R70" s="674">
        <f>IF(L69="TT",(1.76*N70+0.5*O70+0.13*P70)-AF69,1.76*N70+0.5*O70+0.13*P70)</f>
        <v>1.14468831422577</v>
      </c>
      <c r="S70" s="674">
        <f>IF(L69="TT",(M70*9.39+N70*6.99+O70*2.36)-AK69,M70*9.39+N70*6.99+O70*2.36)</f>
        <v>10.899079747165638</v>
      </c>
      <c r="T70" s="674">
        <f>IF(L69="TT",(M70*676.94+N70*101.08+O70*77.38)-AP69,M70*676.94+N70*101.08+O70*77.38)</f>
        <v>524.47905895249016</v>
      </c>
      <c r="U70" s="1022" t="s">
        <v>278</v>
      </c>
      <c r="V70" s="514" t="s">
        <v>295</v>
      </c>
      <c r="W70" s="675">
        <f>IF(V70="NA", 0, (V70)*12/N70/43560)</f>
        <v>0</v>
      </c>
      <c r="X70" s="634" t="str">
        <f t="shared" si="0"/>
        <v>NA</v>
      </c>
      <c r="Y70" s="676">
        <f>IF(X70="NA",0,R70*X70)</f>
        <v>0</v>
      </c>
      <c r="Z70" s="635">
        <f>IF(ISNA(VLOOKUP(J70,'Efficiency Lookup'!$B$2:$C$38,2,FALSE)),0,(VLOOKUP(J70,'Efficiency Lookup'!$B$2:$C$38,2,FALSE)))</f>
        <v>0.35</v>
      </c>
      <c r="AA70" s="139">
        <f>R70*Z70</f>
        <v>0.40064090997901947</v>
      </c>
      <c r="AB70" s="640">
        <f>IF(ISNA(VLOOKUP(K70,'Efficiency Lookup'!$D$2:$E$35,2,FALSE)),0,VLOOKUP(K70,'Efficiency Lookup'!$D$2:$E$35,2,FALSE))</f>
        <v>0.75</v>
      </c>
      <c r="AC70" s="1022">
        <f>R70*AB70</f>
        <v>0.85851623566932744</v>
      </c>
      <c r="AD70" s="637">
        <f>IF(U70="RR",IF((0.0304*(W70^5)-0.2619*(W70^4)+0.9161*(W70^3)-1.6837*(W70^2)+1.7072*W70-0.0091)&gt;0.85,0.85,IF((0.0304*(W70^5)-0.2619*(W70^4)+0.9161*(W70^3)-1.6837*(W70^2)+1.7072*W70-0.0091)&lt;0,0,(0.0304*(W70^5)-0.2619*(W70^4)+0.9161*(W70^3)-1.6837*(W70^2)+1.7072*W70-0.0091))),IF((0.0239*(W70^5)-0.2058*(W70^4)+0.7198*(W70^3)-1.3229*(W70^2)+1.3414*W70-0.0072)&gt;0.65,0.65,IF((0.0239*(W70^5)-0.2058*(W70^4)+0.7198*(W70^3)-1.3229*(W70^2)+1.3414*W70-0.0072)&lt;0,0,(0.0239*(W70^5)-0.2058*(W70^4)+0.7198*(W70^3)-1.3229*(W70^2)+1.3414*W70-0.0072))))</f>
        <v>0</v>
      </c>
      <c r="AE70" s="139">
        <f>R70*AD70</f>
        <v>0</v>
      </c>
      <c r="AF70" s="516">
        <f>MAX(Y70,AA70,AC70,AE70)</f>
        <v>0.85851623566932744</v>
      </c>
      <c r="AG70" s="636">
        <f>IF(ISNA(VLOOKUP(K70,'Efficiency Lookup'!$D$2:$G$35,3,FALSE)),0,VLOOKUP(K70,'Efficiency Lookup'!$D$2:$G$35,3,FALSE))</f>
        <v>0.7</v>
      </c>
      <c r="AH70" s="1022">
        <f>S70*AG70</f>
        <v>7.6293558230159464</v>
      </c>
      <c r="AI70" s="637">
        <f>IF(U70="RR",IF((0.0308*(W70^5)-0.2562*(W70^4)+0.8634*(W70^3)-1.5285*(W70^2)+1.501*W70-0.013)&gt;0.7,0.7,IF((0.0308*(W70^5)-0.2562*(W70^4)+0.8634*(W70^3)-1.5285*(W70^2)+1.501*W70-0.013)&lt;0,0,(0.0308*(W70^5)-0.2562*(W70^4)+0.8634*(W70^3)-1.5285*(W70^2)+1.501*W70-0.013))),IF((0.0152*(W70^5)-0.131*(W70^4)+0.4581*(W70^3)-0.8418*(W70^2)+0.8536*W70-0.0046)&gt;0.65,0.65,IF((0.0152*(W70^5)-0.131*(W70^4)+0.4581*(W70^3)-0.8418*(W70^2)+0.8536*W70-0.0046)&lt;0,0,(0.0152*(W70^5)-0.131*(W70^4)+0.4581*(W70^3)-0.8418*(W70^2)+0.8536*W70-0.0046))))</f>
        <v>0</v>
      </c>
      <c r="AJ70" s="139">
        <f>S70*AI70</f>
        <v>0</v>
      </c>
      <c r="AK70" s="416">
        <f t="shared" si="1"/>
        <v>7.6293558230159464</v>
      </c>
      <c r="AL70" s="641">
        <f>IF(ISNA(VLOOKUP(K70,'Efficiency Lookup'!$D$2:$G$35,4,FALSE)),0,VLOOKUP(K70,'Efficiency Lookup'!$D$2:$G$35,4,FALSE))</f>
        <v>0.8</v>
      </c>
      <c r="AM70" s="1022">
        <f>T70*AL70</f>
        <v>419.58324716199218</v>
      </c>
      <c r="AN70" s="637">
        <f>IF(U70="RR",IF((0.0326*(W70^5)-0.2806*(W70^4)+0.9816*(W70^3)-1.8039*(W70^2)+1.8292*W70-0.0098)&gt;0.85,0.85,IF((0.0326*(W70^5)-0.2806*(W70^4)+0.9816*(W70^3)-1.8039*(W70^2)+1.8292*W70-0.0098)&lt;0,0,(0.0326*(W70^5)-0.2806*(W70^4)+0.9816*(W70^3)-1.8039*(W70^2)+1.8292*W70-0.0098))),IF((0.0304*(W70^5)-0.2619*(W70^4)+0.9161*(W70^3)-1.6837*(W70^2)+1.7072*W70-0.0091)&gt;0.8,0.8,IF((0.0304*(W70^5)-0.2619*(W70^4)+0.9161*(W70^3)-1.6837*(W70^2)+1.7072*W70-0.0091)&lt;0,0,(0.0304*(W70^5)-0.2619*(W70^4)+0.9161*(W70^3)-1.6837*(W70^2)+1.7072*W70-0.0091))))</f>
        <v>0</v>
      </c>
      <c r="AO70" s="139">
        <f>T70*AN70</f>
        <v>0</v>
      </c>
      <c r="AP70" s="647">
        <f>IF(AK70=AH70,AM70,AO70)</f>
        <v>419.58324716199218</v>
      </c>
      <c r="AQ70" s="789">
        <f>IF(AF70&lt;0,0,AF70)</f>
        <v>0.85851623566932744</v>
      </c>
      <c r="AR70" s="789">
        <f>IF(AK70&lt;0,0,AK70)</f>
        <v>7.6293558230159464</v>
      </c>
      <c r="AS70" s="790">
        <f>IF(AP70&lt;0,0,AP70)</f>
        <v>419.58324716199218</v>
      </c>
    </row>
    <row r="71" spans="1:45" x14ac:dyDescent="0.25">
      <c r="A71" s="261"/>
      <c r="B71" s="510" t="s">
        <v>297</v>
      </c>
      <c r="C71" s="510" t="s">
        <v>297</v>
      </c>
      <c r="D71" s="510" t="s">
        <v>297</v>
      </c>
      <c r="E71" s="510"/>
      <c r="F71" s="692"/>
      <c r="G71" s="670"/>
      <c r="H71" s="261"/>
      <c r="I71" s="261"/>
      <c r="J71" s="261"/>
      <c r="K71" s="261"/>
      <c r="L71" s="671"/>
      <c r="M71" s="671"/>
      <c r="N71" s="671"/>
      <c r="O71" s="671"/>
      <c r="P71" s="261"/>
      <c r="X71" s="762" t="str">
        <f t="shared" si="0"/>
        <v/>
      </c>
      <c r="AA71" s="70"/>
      <c r="AF71" s="516"/>
      <c r="AG71" s="681"/>
      <c r="AK71" s="756" t="str">
        <f t="shared" si="1"/>
        <v/>
      </c>
      <c r="AL71" s="681"/>
      <c r="AN71" s="70"/>
    </row>
    <row r="72" spans="1:45" x14ac:dyDescent="0.25">
      <c r="A72" s="628"/>
      <c r="B72" s="668" t="s">
        <v>297</v>
      </c>
      <c r="C72" s="668" t="s">
        <v>297</v>
      </c>
      <c r="D72" s="668" t="s">
        <v>297</v>
      </c>
      <c r="E72" s="710"/>
      <c r="F72" s="711"/>
      <c r="G72" s="668"/>
      <c r="H72" s="712"/>
      <c r="I72" s="712"/>
      <c r="J72" s="712"/>
      <c r="K72" s="712"/>
      <c r="L72" s="712"/>
      <c r="M72" s="712"/>
      <c r="N72" s="712"/>
      <c r="O72" s="712"/>
      <c r="P72" s="712"/>
      <c r="Q72" s="712"/>
      <c r="R72" s="712"/>
      <c r="S72" s="712"/>
      <c r="T72" s="712"/>
      <c r="U72" s="712"/>
      <c r="V72" s="712"/>
      <c r="W72" s="712"/>
      <c r="X72" s="760" t="str">
        <f t="shared" si="0"/>
        <v/>
      </c>
      <c r="Y72" s="713"/>
      <c r="Z72" s="712"/>
      <c r="AA72" s="712"/>
      <c r="AB72" s="638"/>
      <c r="AC72" s="638"/>
      <c r="AD72" s="638"/>
      <c r="AE72" s="629"/>
      <c r="AF72" s="666"/>
      <c r="AG72" s="666"/>
      <c r="AH72" s="629"/>
      <c r="AI72" s="638"/>
      <c r="AJ72" s="629"/>
      <c r="AK72" s="639" t="str">
        <f t="shared" si="1"/>
        <v/>
      </c>
      <c r="AL72" s="644"/>
      <c r="AM72" s="638"/>
      <c r="AN72" s="638"/>
      <c r="AO72" s="629"/>
      <c r="AP72" s="648"/>
      <c r="AQ72" s="791"/>
      <c r="AR72" s="791"/>
      <c r="AS72" s="792"/>
    </row>
    <row r="73" spans="1:45" ht="14.45" customHeight="1" x14ac:dyDescent="0.25">
      <c r="A73" s="261"/>
      <c r="B73" s="510" t="s">
        <v>297</v>
      </c>
      <c r="C73" s="510" t="s">
        <v>297</v>
      </c>
      <c r="D73" s="510" t="s">
        <v>297</v>
      </c>
      <c r="E73" s="704"/>
      <c r="F73" s="705"/>
      <c r="G73" s="510"/>
      <c r="H73" s="511"/>
      <c r="I73" s="261"/>
      <c r="J73" s="511"/>
      <c r="K73" s="511"/>
      <c r="L73" s="510"/>
      <c r="M73" s="510"/>
      <c r="N73" s="672"/>
      <c r="O73" s="514"/>
      <c r="P73" s="514" t="s">
        <v>297</v>
      </c>
      <c r="Q73" s="688"/>
      <c r="R73" s="674"/>
      <c r="S73" s="674"/>
      <c r="T73" s="674"/>
      <c r="U73" s="1022"/>
      <c r="V73" s="514"/>
      <c r="W73" s="675"/>
      <c r="X73" s="636" t="str">
        <f t="shared" si="0"/>
        <v/>
      </c>
      <c r="Y73" s="706"/>
      <c r="Z73" s="640"/>
      <c r="AA73" s="1022"/>
      <c r="AB73" s="637"/>
      <c r="AC73" s="637"/>
      <c r="AD73" s="637"/>
      <c r="AE73" s="139"/>
      <c r="AF73" s="642"/>
      <c r="AG73" s="583"/>
      <c r="AH73" s="139"/>
      <c r="AI73" s="637"/>
      <c r="AJ73" s="139"/>
      <c r="AK73" s="416" t="str">
        <f t="shared" si="1"/>
        <v/>
      </c>
      <c r="AL73" s="642"/>
      <c r="AM73" s="637"/>
      <c r="AN73" s="637"/>
      <c r="AO73" s="139"/>
      <c r="AP73" s="647"/>
      <c r="AQ73" s="789"/>
      <c r="AR73" s="789"/>
      <c r="AS73" s="790"/>
    </row>
    <row r="74" spans="1:45" ht="30" x14ac:dyDescent="0.25">
      <c r="A74" s="261" t="s">
        <v>659</v>
      </c>
      <c r="B74" s="510">
        <v>38.132804</v>
      </c>
      <c r="C74" s="510">
        <v>-78.447812999999996</v>
      </c>
      <c r="D74" s="510" t="s">
        <v>279</v>
      </c>
      <c r="E74" s="511">
        <v>308.01</v>
      </c>
      <c r="F74" s="669">
        <v>39511</v>
      </c>
      <c r="G74" s="510" t="s">
        <v>281</v>
      </c>
      <c r="H74" s="670"/>
      <c r="I74" s="511"/>
      <c r="J74" s="511" t="s">
        <v>343</v>
      </c>
      <c r="K74" s="511" t="s">
        <v>315</v>
      </c>
      <c r="L74" s="671"/>
      <c r="M74" s="671">
        <f>N74+O74+P74</f>
        <v>41.385184237274522</v>
      </c>
      <c r="N74" s="672">
        <v>11.792249491886905</v>
      </c>
      <c r="O74" s="514">
        <v>23.863841084105022</v>
      </c>
      <c r="P74" s="514">
        <v>5.7290936612825991</v>
      </c>
      <c r="Q74" s="673">
        <f>+N74/M74</f>
        <v>0.28493891495754037</v>
      </c>
      <c r="R74" s="674">
        <f>IF(L73="TT",(1.76*N74+0.5*O74+0.13*P74)-AF73,1.76*N74+0.5*O74+0.13*P74)</f>
        <v>33.431061823740201</v>
      </c>
      <c r="S74" s="674">
        <f>IF(L73="TT",(M74*9.39+N74*6.99+O74*2.36)-AK73,M74*9.39+N74*6.99+O74*2.36)</f>
        <v>527.35336889478515</v>
      </c>
      <c r="T74" s="674">
        <f>IF(L73="TT",(M74*676.94+N74*101.08+O74*77.38)-AP73,M74*676.94+N74*101.08+O74*77.38)</f>
        <v>31053.831219308591</v>
      </c>
      <c r="U74" s="1022" t="s">
        <v>285</v>
      </c>
      <c r="V74" s="514">
        <f>0.9524*43560</f>
        <v>41486.544000000002</v>
      </c>
      <c r="W74" s="675">
        <f>IF(V74="NA", 0, (V74)*12/N74/43560)</f>
        <v>0.96917895163794177</v>
      </c>
      <c r="X74" s="634" t="str">
        <f t="shared" si="0"/>
        <v>NA</v>
      </c>
      <c r="Y74" s="676">
        <f>IF(X74="NA",0,R74*X74)</f>
        <v>0</v>
      </c>
      <c r="Z74" s="635">
        <f>IF(ISNA(VLOOKUP(J74,'Efficiency Lookup'!$B$2:$C$38,2,FALSE)),0,(VLOOKUP(J74,'Efficiency Lookup'!$B$2:$C$38,2,FALSE)))</f>
        <v>0.5</v>
      </c>
      <c r="AA74" s="139">
        <f>R74*Z74</f>
        <v>16.715530911870101</v>
      </c>
      <c r="AB74" s="1061">
        <f>IF(ISNA(VLOOKUP(K74,'Efficiency Lookup'!$D$2:$E$35,2,FALSE)),0,VLOOKUP(K74,'Efficiency Lookup'!$D$2:$E$35,2,FALSE))</f>
        <v>0.75</v>
      </c>
      <c r="AC74" s="1005">
        <f>R74*AB74</f>
        <v>25.073296367805149</v>
      </c>
      <c r="AD74" s="637">
        <f>IF(U74="RR",IF((0.0304*(W74^5)-0.2619*(W74^4)+0.9161*(W74^3)-1.6837*(W74^2)+1.7072*W74-0.0091)&gt;0.85,0.85,IF((0.0304*(W74^5)-0.2619*(W74^4)+0.9161*(W74^3)-1.6837*(W74^2)+1.7072*W74-0.0091)&lt;0,0,(0.0304*(W74^5)-0.2619*(W74^4)+0.9161*(W74^3)-1.6837*(W74^2)+1.7072*W74-0.0091))),IF((0.0239*(W74^5)-0.2058*(W74^4)+0.7198*(W74^3)-1.3229*(W74^2)+1.3414*W74-0.0072)&gt;0.65,0.65,IF((0.0239*(W74^5)-0.2058*(W74^4)+0.7198*(W74^3)-1.3229*(W74^2)+1.3414*W74-0.0072)&lt;0,0,(0.0239*(W74^5)-0.2058*(W74^4)+0.7198*(W74^3)-1.3229*(W74^2)+1.3414*W74-0.0072))))</f>
        <v>0.69286915048065034</v>
      </c>
      <c r="AE74" s="139">
        <f>R74*AD74</f>
        <v>23.163351405480974</v>
      </c>
      <c r="AF74" s="516">
        <f>MAX(Y74,AA74,AC74,AE74)</f>
        <v>25.073296367805149</v>
      </c>
      <c r="AG74" s="641">
        <f>IF(ISNA(VLOOKUP(K74,'Efficiency Lookup'!$D$2:$G$35,3,FALSE)),0,VLOOKUP(K74,'Efficiency Lookup'!$D$2:$G$35,3,FALSE))</f>
        <v>0.7</v>
      </c>
      <c r="AH74" s="1005">
        <f>S74*AG74</f>
        <v>369.14735822634958</v>
      </c>
      <c r="AI74" s="637">
        <f>IF(U74="RR",IF((0.0308*(W74^5)-0.2562*(W74^4)+0.8634*(W74^3)-1.5285*(W74^2)+1.501*W74-0.013)&gt;0.7,0.7,IF((0.0308*(W74^5)-0.2562*(W74^4)+0.8634*(W74^3)-1.5285*(W74^2)+1.501*W74-0.013)&lt;0,0,(0.0308*(W74^5)-0.2562*(W74^4)+0.8634*(W74^3)-1.5285*(W74^2)+1.501*W74-0.013))),IF((0.0152*(W74^5)-0.131*(W74^4)+0.4581*(W74^3)-0.8418*(W74^2)+0.8536*W74-0.0046)&gt;0.65,0.65,IF((0.0152*(W74^5)-0.131*(W74^4)+0.4581*(W74^3)-0.8418*(W74^2)+0.8536*W74-0.0046)&lt;0,0,(0.0152*(W74^5)-0.131*(W74^4)+0.4581*(W74^3)-0.8418*(W74^2)+0.8536*W74-0.0046))))</f>
        <v>0.59230034100369289</v>
      </c>
      <c r="AJ74" s="139">
        <f>S74*AI74</f>
        <v>312.35158022582749</v>
      </c>
      <c r="AK74" s="416">
        <f t="shared" si="1"/>
        <v>369.14735822634958</v>
      </c>
      <c r="AL74" s="641">
        <f>IF(ISNA(VLOOKUP(K74,'Efficiency Lookup'!$D$2:$G$35,4,FALSE)),0,VLOOKUP(K74,'Efficiency Lookup'!$D$2:$G$35,4,FALSE))</f>
        <v>0.8</v>
      </c>
      <c r="AM74" s="1005">
        <f>T74*AL74</f>
        <v>24843.064975446876</v>
      </c>
      <c r="AN74" s="637">
        <f>IF(U74="RR",IF((0.0326*(W74^5)-0.2806*(W74^4)+0.9816*(W74^3)-1.8039*(W74^2)+1.8292*W74-0.0098)&gt;0.85,0.85,IF((0.0326*(W74^5)-0.2806*(W74^4)+0.9816*(W74^3)-1.8039*(W74^2)+1.8292*W74-0.0098)&lt;0,0,(0.0326*(W74^5)-0.2806*(W74^4)+0.9816*(W74^3)-1.8039*(W74^2)+1.8292*W74-0.0098))),IF((0.0304*(W74^5)-0.2619*(W74^4)+0.9161*(W74^3)-1.6837*(W74^2)+1.7072*W74-0.0091)&gt;0.8,0.8,IF((0.0304*(W74^5)-0.2619*(W74^4)+0.9161*(W74^3)-1.6837*(W74^2)+1.7072*W74-0.0091)&lt;0,0,(0.0304*(W74^5)-0.2619*(W74^4)+0.9161*(W74^3)-1.6837*(W74^2)+1.7072*W74-0.0091))))</f>
        <v>0.74251482652365186</v>
      </c>
      <c r="AO74" s="139">
        <f>T74*AN74</f>
        <v>23057.930100699683</v>
      </c>
      <c r="AP74" s="647">
        <f>IF(AK74=AH74,AM74,AO74)</f>
        <v>24843.064975446876</v>
      </c>
      <c r="AQ74" s="789">
        <f>IF(AF74&lt;0,0,AF74)</f>
        <v>25.073296367805149</v>
      </c>
      <c r="AR74" s="789">
        <f>IF(AK74&lt;0,0,AK74)</f>
        <v>369.14735822634958</v>
      </c>
      <c r="AS74" s="790">
        <f>IF(AP74&lt;0,0,AP74)</f>
        <v>24843.064975446876</v>
      </c>
    </row>
    <row r="75" spans="1:45" x14ac:dyDescent="0.25">
      <c r="A75" s="261"/>
      <c r="B75" s="510" t="s">
        <v>297</v>
      </c>
      <c r="C75" s="510" t="s">
        <v>297</v>
      </c>
      <c r="D75" s="510" t="s">
        <v>297</v>
      </c>
      <c r="E75" s="511"/>
      <c r="F75" s="705"/>
      <c r="G75" s="510"/>
      <c r="H75" s="511"/>
      <c r="I75" s="261"/>
      <c r="J75" s="511"/>
      <c r="K75" s="511"/>
      <c r="L75" s="510"/>
      <c r="M75" s="510"/>
      <c r="N75" s="672"/>
      <c r="O75" s="514"/>
      <c r="P75" s="514" t="s">
        <v>297</v>
      </c>
      <c r="Q75" s="688"/>
      <c r="R75" s="674"/>
      <c r="S75" s="674"/>
      <c r="T75" s="674"/>
      <c r="U75" s="1022"/>
      <c r="V75" s="514"/>
      <c r="W75" s="675"/>
      <c r="X75" s="636" t="str">
        <f t="shared" si="0"/>
        <v/>
      </c>
      <c r="Y75" s="706"/>
      <c r="Z75" s="640"/>
      <c r="AA75" s="1022"/>
      <c r="AB75" s="637"/>
      <c r="AC75" s="637"/>
      <c r="AD75" s="637"/>
      <c r="AE75" s="139"/>
      <c r="AF75" s="642"/>
      <c r="AG75" s="583"/>
      <c r="AH75" s="139"/>
      <c r="AI75" s="637"/>
      <c r="AJ75" s="139"/>
      <c r="AK75" s="416" t="str">
        <f t="shared" si="1"/>
        <v/>
      </c>
      <c r="AL75" s="642"/>
      <c r="AM75" s="637"/>
      <c r="AN75" s="637"/>
      <c r="AO75" s="139"/>
      <c r="AP75" s="647"/>
      <c r="AQ75" s="789"/>
      <c r="AR75" s="789"/>
      <c r="AS75" s="790"/>
    </row>
    <row r="76" spans="1:45" x14ac:dyDescent="0.25">
      <c r="A76" s="628"/>
      <c r="B76" s="668" t="s">
        <v>297</v>
      </c>
      <c r="C76" s="668" t="s">
        <v>297</v>
      </c>
      <c r="D76" s="668" t="s">
        <v>297</v>
      </c>
      <c r="E76" s="710"/>
      <c r="F76" s="711"/>
      <c r="G76" s="668"/>
      <c r="H76" s="712"/>
      <c r="I76" s="712"/>
      <c r="J76" s="712"/>
      <c r="K76" s="712"/>
      <c r="L76" s="712"/>
      <c r="M76" s="712"/>
      <c r="N76" s="712"/>
      <c r="O76" s="712"/>
      <c r="P76" s="712"/>
      <c r="Q76" s="712"/>
      <c r="R76" s="712"/>
      <c r="S76" s="712"/>
      <c r="T76" s="712"/>
      <c r="U76" s="712"/>
      <c r="V76" s="712"/>
      <c r="W76" s="712"/>
      <c r="X76" s="760" t="str">
        <f t="shared" si="0"/>
        <v/>
      </c>
      <c r="Y76" s="713"/>
      <c r="Z76" s="712"/>
      <c r="AA76" s="712"/>
      <c r="AB76" s="638"/>
      <c r="AC76" s="638"/>
      <c r="AD76" s="638"/>
      <c r="AE76" s="629"/>
      <c r="AF76" s="666"/>
      <c r="AG76" s="666"/>
      <c r="AH76" s="629"/>
      <c r="AI76" s="638"/>
      <c r="AJ76" s="629"/>
      <c r="AK76" s="639" t="str">
        <f t="shared" si="1"/>
        <v/>
      </c>
      <c r="AL76" s="644"/>
      <c r="AM76" s="638"/>
      <c r="AN76" s="638"/>
      <c r="AO76" s="629"/>
      <c r="AP76" s="648"/>
      <c r="AQ76" s="791"/>
      <c r="AR76" s="791"/>
      <c r="AS76" s="792"/>
    </row>
    <row r="77" spans="1:45" ht="14.45" customHeight="1" x14ac:dyDescent="0.25">
      <c r="A77" s="261"/>
      <c r="B77" s="510" t="s">
        <v>297</v>
      </c>
      <c r="C77" s="510" t="s">
        <v>297</v>
      </c>
      <c r="D77" s="510" t="s">
        <v>297</v>
      </c>
      <c r="E77" s="704"/>
      <c r="F77" s="705"/>
      <c r="G77" s="510"/>
      <c r="H77" s="511"/>
      <c r="I77" s="261"/>
      <c r="J77" s="511"/>
      <c r="K77" s="511"/>
      <c r="L77" s="510"/>
      <c r="M77" s="510"/>
      <c r="N77" s="672"/>
      <c r="O77" s="514"/>
      <c r="P77" s="514" t="s">
        <v>297</v>
      </c>
      <c r="Q77" s="688"/>
      <c r="R77" s="674"/>
      <c r="S77" s="674"/>
      <c r="T77" s="674"/>
      <c r="U77" s="1022"/>
      <c r="V77" s="514"/>
      <c r="W77" s="675"/>
      <c r="X77" s="636" t="str">
        <f t="shared" si="0"/>
        <v/>
      </c>
      <c r="Y77" s="706"/>
      <c r="Z77" s="640"/>
      <c r="AA77" s="1022"/>
      <c r="AB77" s="637"/>
      <c r="AC77" s="637"/>
      <c r="AD77" s="637"/>
      <c r="AE77" s="139"/>
      <c r="AF77" s="642"/>
      <c r="AG77" s="583"/>
      <c r="AH77" s="139"/>
      <c r="AI77" s="637"/>
      <c r="AJ77" s="139"/>
      <c r="AK77" s="416" t="str">
        <f t="shared" si="1"/>
        <v/>
      </c>
      <c r="AL77" s="642"/>
      <c r="AM77" s="637"/>
      <c r="AN77" s="637"/>
      <c r="AO77" s="139"/>
      <c r="AP77" s="647"/>
      <c r="AQ77" s="789"/>
      <c r="AR77" s="789"/>
      <c r="AS77" s="790"/>
    </row>
    <row r="78" spans="1:45" ht="30" x14ac:dyDescent="0.25">
      <c r="A78" s="261" t="s">
        <v>660</v>
      </c>
      <c r="B78" s="510">
        <v>38.031252000000002</v>
      </c>
      <c r="C78" s="510">
        <v>-78.449282999999994</v>
      </c>
      <c r="D78" s="510" t="s">
        <v>296</v>
      </c>
      <c r="E78" s="511">
        <v>120.01</v>
      </c>
      <c r="F78" s="669">
        <v>40084</v>
      </c>
      <c r="G78" s="510" t="s">
        <v>281</v>
      </c>
      <c r="H78" s="670"/>
      <c r="I78" s="511"/>
      <c r="J78" s="511" t="s">
        <v>343</v>
      </c>
      <c r="K78" s="511" t="s">
        <v>315</v>
      </c>
      <c r="L78" s="261"/>
      <c r="M78" s="671">
        <f>N78+O78+P78</f>
        <v>1.2464063519585999</v>
      </c>
      <c r="N78" s="672">
        <v>1.16158687193</v>
      </c>
      <c r="O78" s="514">
        <v>6.6504486350800002E-2</v>
      </c>
      <c r="P78" s="514">
        <v>1.8314993677799998E-2</v>
      </c>
      <c r="Q78" s="673">
        <f>+N78/M78</f>
        <v>0.93194877425382594</v>
      </c>
      <c r="R78" s="674">
        <f>IF(L77="TT",(1.76*N78+0.5*O78+0.13*P78)-AF77,1.76*N78+0.5*O78+0.13*P78)</f>
        <v>2.0800260869503138</v>
      </c>
      <c r="S78" s="674">
        <f>IF(L77="TT",(M78*9.39+N78*6.99+O78*2.36)-AK77,M78*9.39+N78*6.99+O78*2.36)</f>
        <v>19.980198467469844</v>
      </c>
      <c r="T78" s="674">
        <f>IF(L77="TT",(M78*676.94+N78*101.08+O78*77.38)-AP77,M78*676.94+N78*101.08+O78*77.38)</f>
        <v>966.30163406336408</v>
      </c>
      <c r="U78" s="1022" t="s">
        <v>285</v>
      </c>
      <c r="V78" s="514">
        <v>3648</v>
      </c>
      <c r="W78" s="675">
        <f>IF(V78="NA", 0, (V78)*12/N78/43560)</f>
        <v>0.86516015458765594</v>
      </c>
      <c r="X78" s="634" t="str">
        <f t="shared" si="0"/>
        <v>NA</v>
      </c>
      <c r="Y78" s="676">
        <f>IF(X78="NA",0,R78*X78)</f>
        <v>0</v>
      </c>
      <c r="Z78" s="635">
        <f>IF(ISNA(VLOOKUP(J78,'Efficiency Lookup'!$B$2:$C$38,2,FALSE)),0,(VLOOKUP(J78,'Efficiency Lookup'!$B$2:$C$38,2,FALSE)))</f>
        <v>0.5</v>
      </c>
      <c r="AA78" s="139">
        <f>R78*Z78</f>
        <v>1.0400130434751569</v>
      </c>
      <c r="AB78" s="1061">
        <f>IF(ISNA(VLOOKUP(K78,'Efficiency Lookup'!$D$2:$E$35,2,FALSE)),0,VLOOKUP(K78,'Efficiency Lookup'!$D$2:$E$35,2,FALSE))</f>
        <v>0.75</v>
      </c>
      <c r="AC78" s="1005">
        <f>R78*AB78</f>
        <v>1.5600195652127353</v>
      </c>
      <c r="AD78" s="637">
        <f>IF(U78="RR",IF((0.0304*(W78^5)-0.2619*(W78^4)+0.9161*(W78^3)-1.6837*(W78^2)+1.7072*W78-0.0091)&gt;0.85,0.85,IF((0.0304*(W78^5)-0.2619*(W78^4)+0.9161*(W78^3)-1.6837*(W78^2)+1.7072*W78-0.0091)&lt;0,0,(0.0304*(W78^5)-0.2619*(W78^4)+0.9161*(W78^3)-1.6837*(W78^2)+1.7072*W78-0.0091))),IF((0.0239*(W78^5)-0.2058*(W78^4)+0.7198*(W78^3)-1.3229*(W78^2)+1.3414*W78-0.0072)&gt;0.65,0.65,IF((0.0239*(W78^5)-0.2058*(W78^4)+0.7198*(W78^3)-1.3229*(W78^2)+1.3414*W78-0.0072)&lt;0,0,(0.0239*(W78^5)-0.2058*(W78^4)+0.7198*(W78^3)-1.3229*(W78^2)+1.3414*W78-0.0072))))</f>
        <v>0.6688954724690912</v>
      </c>
      <c r="AE78" s="139">
        <f>R78*AD78</f>
        <v>1.3913200321786652</v>
      </c>
      <c r="AF78" s="516">
        <f>MAX(Y78,AA78,AC78,AE78)</f>
        <v>1.5600195652127353</v>
      </c>
      <c r="AG78" s="641">
        <f>IF(ISNA(VLOOKUP(K78,'Efficiency Lookup'!$D$2:$G$35,3,FALSE)),0,VLOOKUP(K78,'Efficiency Lookup'!$D$2:$G$35,3,FALSE))</f>
        <v>0.7</v>
      </c>
      <c r="AH78" s="1005">
        <f>S78*AG78</f>
        <v>13.98613892722889</v>
      </c>
      <c r="AI78" s="637">
        <f>IF(U78="RR",IF((0.0308*(W78^5)-0.2562*(W78^4)+0.8634*(W78^3)-1.5285*(W78^2)+1.501*W78-0.013)&gt;0.7,0.7,IF((0.0308*(W78^5)-0.2562*(W78^4)+0.8634*(W78^3)-1.5285*(W78^2)+1.501*W78-0.013)&lt;0,0,(0.0308*(W78^5)-0.2562*(W78^4)+0.8634*(W78^3)-1.5285*(W78^2)+1.501*W78-0.013))),IF((0.0152*(W78^5)-0.131*(W78^4)+0.4581*(W78^3)-0.8418*(W78^2)+0.8536*W78-0.0046)&gt;0.65,0.65,IF((0.0152*(W78^5)-0.131*(W78^4)+0.4581*(W78^3)-0.8418*(W78^2)+0.8536*W78-0.0046)&lt;0,0,(0.0152*(W78^5)-0.131*(W78^4)+0.4581*(W78^3)-0.8418*(W78^2)+0.8536*W78-0.0046))))</f>
        <v>0.5720271537469318</v>
      </c>
      <c r="AJ78" s="139">
        <f>S78*AI78</f>
        <v>11.429216060645583</v>
      </c>
      <c r="AK78" s="416">
        <f t="shared" si="1"/>
        <v>13.98613892722889</v>
      </c>
      <c r="AL78" s="641">
        <f>IF(ISNA(VLOOKUP(K78,'Efficiency Lookup'!$D$2:$G$35,4,FALSE)),0,VLOOKUP(K78,'Efficiency Lookup'!$D$2:$G$35,4,FALSE))</f>
        <v>0.8</v>
      </c>
      <c r="AM78" s="1005">
        <f>T78*AL78</f>
        <v>773.04130725069126</v>
      </c>
      <c r="AN78" s="637">
        <f>IF(U78="RR",IF((0.0326*(W78^5)-0.2806*(W78^4)+0.9816*(W78^3)-1.8039*(W78^2)+1.8292*W78-0.0098)&gt;0.85,0.85,IF((0.0326*(W78^5)-0.2806*(W78^4)+0.9816*(W78^3)-1.8039*(W78^2)+1.8292*W78-0.0098)&lt;0,0,(0.0326*(W78^5)-0.2806*(W78^4)+0.9816*(W78^3)-1.8039*(W78^2)+1.8292*W78-0.0098))),IF((0.0304*(W78^5)-0.2619*(W78^4)+0.9161*(W78^3)-1.6837*(W78^2)+1.7072*W78-0.0091)&gt;0.8,0.8,IF((0.0304*(W78^5)-0.2619*(W78^4)+0.9161*(W78^3)-1.6837*(W78^2)+1.7072*W78-0.0091)&lt;0,0,(0.0304*(W78^5)-0.2619*(W78^4)+0.9161*(W78^3)-1.6837*(W78^2)+1.7072*W78-0.0091))))</f>
        <v>0.7167807566859774</v>
      </c>
      <c r="AO78" s="139">
        <f>T78*AN78</f>
        <v>692.62641645083454</v>
      </c>
      <c r="AP78" s="647">
        <f>IF(AK78=AH78,AM78,AO78)</f>
        <v>773.04130725069126</v>
      </c>
      <c r="AQ78" s="789">
        <f>IF(AF78&lt;0,0,AF78)</f>
        <v>1.5600195652127353</v>
      </c>
      <c r="AR78" s="789">
        <f>IF(AK78&lt;0,0,AK78)</f>
        <v>13.98613892722889</v>
      </c>
      <c r="AS78" s="790">
        <f>IF(AP78&lt;0,0,AP78)</f>
        <v>773.04130725069126</v>
      </c>
    </row>
    <row r="79" spans="1:45" ht="30" x14ac:dyDescent="0.25">
      <c r="A79" s="261"/>
      <c r="B79" s="510">
        <v>38.031737999999997</v>
      </c>
      <c r="C79" s="510">
        <v>-78.448806000000005</v>
      </c>
      <c r="D79" s="510" t="s">
        <v>296</v>
      </c>
      <c r="E79" s="511">
        <v>120.02</v>
      </c>
      <c r="F79" s="669">
        <v>40084</v>
      </c>
      <c r="G79" s="510" t="s">
        <v>281</v>
      </c>
      <c r="H79" s="670"/>
      <c r="I79" s="511"/>
      <c r="J79" s="511" t="s">
        <v>343</v>
      </c>
      <c r="K79" s="511" t="s">
        <v>315</v>
      </c>
      <c r="L79" s="261"/>
      <c r="M79" s="671">
        <f>N79+O79+P79</f>
        <v>0.66825511857599995</v>
      </c>
      <c r="N79" s="672">
        <v>0.66825511857599995</v>
      </c>
      <c r="O79" s="514">
        <v>0</v>
      </c>
      <c r="P79" s="514">
        <v>0</v>
      </c>
      <c r="Q79" s="673">
        <f>+N79/M79</f>
        <v>1</v>
      </c>
      <c r="R79" s="674">
        <f>IF(L78="TT",(1.76*N79+0.5*O79+0.13*P79)-AF78,1.76*N79+0.5*O79+0.13*P79)</f>
        <v>1.1761290086937599</v>
      </c>
      <c r="S79" s="674">
        <f>IF(L78="TT",(M79*9.39+N79*6.99+O79*2.36)-AK78,M79*9.39+N79*6.99+O79*2.36)</f>
        <v>10.94601884227488</v>
      </c>
      <c r="T79" s="674">
        <f>IF(L78="TT",(M79*676.94+N79*101.08+O79*77.38)-AP78,M79*676.94+N79*101.08+O79*77.38)</f>
        <v>519.91584735449953</v>
      </c>
      <c r="U79" s="1022" t="s">
        <v>285</v>
      </c>
      <c r="V79" s="514">
        <v>450</v>
      </c>
      <c r="W79" s="675">
        <f>IF(V79="NA", 0, (V79)*12/N79/43560)</f>
        <v>0.18550840644950733</v>
      </c>
      <c r="X79" s="634" t="str">
        <f t="shared" si="0"/>
        <v>NA</v>
      </c>
      <c r="Y79" s="676">
        <f>IF(X79="NA",0,R79*X79)</f>
        <v>0</v>
      </c>
      <c r="Z79" s="635">
        <f>IF(ISNA(VLOOKUP(J79,'Efficiency Lookup'!$B$2:$C$38,2,FALSE)),0,(VLOOKUP(J79,'Efficiency Lookup'!$B$2:$C$38,2,FALSE)))</f>
        <v>0.5</v>
      </c>
      <c r="AA79" s="139">
        <f>R79*Z79</f>
        <v>0.58806450434687996</v>
      </c>
      <c r="AB79" s="1061">
        <f>IF(ISNA(VLOOKUP(K79,'Efficiency Lookup'!$D$2:$E$35,2,FALSE)),0,VLOOKUP(K79,'Efficiency Lookup'!$D$2:$E$35,2,FALSE))</f>
        <v>0.75</v>
      </c>
      <c r="AC79" s="1005">
        <f>R79*AB79</f>
        <v>0.88209675652031994</v>
      </c>
      <c r="AD79" s="637">
        <f>IF(U79="RR",IF((0.0304*(W79^5)-0.2619*(W79^4)+0.9161*(W79^3)-1.6837*(W79^2)+1.7072*W79-0.0091)&gt;0.85,0.85,IF((0.0304*(W79^5)-0.2619*(W79^4)+0.9161*(W79^3)-1.6837*(W79^2)+1.7072*W79-0.0091)&lt;0,0,(0.0304*(W79^5)-0.2619*(W79^4)+0.9161*(W79^3)-1.6837*(W79^2)+1.7072*W79-0.0091))),IF((0.0239*(W79^5)-0.2058*(W79^4)+0.7198*(W79^3)-1.3229*(W79^2)+1.3414*W79-0.0072)&gt;0.65,0.65,IF((0.0239*(W79^5)-0.2058*(W79^4)+0.7198*(W79^3)-1.3229*(W79^2)+1.3414*W79-0.0072)&lt;0,0,(0.0239*(W79^5)-0.2058*(W79^4)+0.7198*(W79^3)-1.3229*(W79^2)+1.3414*W79-0.0072))))</f>
        <v>0.25520303230978775</v>
      </c>
      <c r="AE79" s="139">
        <f>R79*AD79</f>
        <v>0.30015168940615222</v>
      </c>
      <c r="AF79" s="516">
        <f>MAX(Y79,AA79,AC79,AE79)</f>
        <v>0.88209675652031994</v>
      </c>
      <c r="AG79" s="641">
        <f>IF(ISNA(VLOOKUP(K79,'Efficiency Lookup'!$D$2:$G$35,3,FALSE)),0,VLOOKUP(K79,'Efficiency Lookup'!$D$2:$G$35,3,FALSE))</f>
        <v>0.7</v>
      </c>
      <c r="AH79" s="1005">
        <f>S79*AG79</f>
        <v>7.662213189592415</v>
      </c>
      <c r="AI79" s="637">
        <f>IF(U79="RR",IF((0.0308*(W79^5)-0.2562*(W79^4)+0.8634*(W79^3)-1.5285*(W79^2)+1.501*W79-0.013)&gt;0.7,0.7,IF((0.0308*(W79^5)-0.2562*(W79^4)+0.8634*(W79^3)-1.5285*(W79^2)+1.501*W79-0.013)&lt;0,0,(0.0308*(W79^5)-0.2562*(W79^4)+0.8634*(W79^3)-1.5285*(W79^2)+1.501*W79-0.013))),IF((0.0152*(W79^5)-0.131*(W79^4)+0.4581*(W79^3)-0.8418*(W79^2)+0.8536*W79-0.0046)&gt;0.65,0.65,IF((0.0152*(W79^5)-0.131*(W79^4)+0.4581*(W79^3)-0.8418*(W79^2)+0.8536*W79-0.0046)&lt;0,0,(0.0152*(W79^5)-0.131*(W79^4)+0.4581*(W79^3)-0.8418*(W79^2)+0.8536*W79-0.0046))))</f>
        <v>0.2180625568430013</v>
      </c>
      <c r="AJ79" s="139">
        <f>S79*AI79</f>
        <v>2.3869168559981291</v>
      </c>
      <c r="AK79" s="416">
        <f t="shared" si="1"/>
        <v>7.662213189592415</v>
      </c>
      <c r="AL79" s="641">
        <f>IF(ISNA(VLOOKUP(K79,'Efficiency Lookup'!$D$2:$G$35,4,FALSE)),0,VLOOKUP(K79,'Efficiency Lookup'!$D$2:$G$35,4,FALSE))</f>
        <v>0.8</v>
      </c>
      <c r="AM79" s="1005">
        <f>T79*AL79</f>
        <v>415.93267788359964</v>
      </c>
      <c r="AN79" s="637">
        <f>IF(U79="RR",IF((0.0326*(W79^5)-0.2806*(W79^4)+0.9816*(W79^3)-1.8039*(W79^2)+1.8292*W79-0.0098)&gt;0.85,0.85,IF((0.0326*(W79^5)-0.2806*(W79^4)+0.9816*(W79^3)-1.8039*(W79^2)+1.8292*W79-0.0098)&lt;0,0,(0.0326*(W79^5)-0.2806*(W79^4)+0.9816*(W79^3)-1.8039*(W79^2)+1.8292*W79-0.0098))),IF((0.0304*(W79^5)-0.2619*(W79^4)+0.9161*(W79^3)-1.6837*(W79^2)+1.7072*W79-0.0091)&gt;0.8,0.8,IF((0.0304*(W79^5)-0.2619*(W79^4)+0.9161*(W79^3)-1.6837*(W79^2)+1.7072*W79-0.0091)&lt;0,0,(0.0304*(W79^5)-0.2619*(W79^4)+0.9161*(W79^3)-1.6837*(W79^2)+1.7072*W79-0.0091))))</f>
        <v>0.27339505823441429</v>
      </c>
      <c r="AO79" s="139">
        <f>T79*AN79</f>
        <v>142.14242336447825</v>
      </c>
      <c r="AP79" s="647">
        <f>IF(AK79=AH79,AM79,AO79)</f>
        <v>415.93267788359964</v>
      </c>
      <c r="AQ79" s="789">
        <f>IF(AF79&lt;0,0,AF79)</f>
        <v>0.88209675652031994</v>
      </c>
      <c r="AR79" s="789">
        <f>IF(AK79&lt;0,0,AK79)</f>
        <v>7.662213189592415</v>
      </c>
      <c r="AS79" s="790">
        <f>IF(AP79&lt;0,0,AP79)</f>
        <v>415.93267788359964</v>
      </c>
    </row>
    <row r="80" spans="1:45" x14ac:dyDescent="0.25">
      <c r="A80" s="261"/>
      <c r="B80" s="510" t="s">
        <v>297</v>
      </c>
      <c r="C80" s="510" t="s">
        <v>297</v>
      </c>
      <c r="D80" s="510" t="s">
        <v>297</v>
      </c>
      <c r="E80" s="511"/>
      <c r="F80" s="705"/>
      <c r="G80" s="510"/>
      <c r="H80" s="511"/>
      <c r="I80" s="261" t="str">
        <f t="shared" si="2"/>
        <v/>
      </c>
      <c r="J80" s="511"/>
      <c r="K80" s="511"/>
      <c r="L80" s="510"/>
      <c r="M80" s="510"/>
      <c r="N80" s="672"/>
      <c r="O80" s="514"/>
      <c r="P80" s="514" t="s">
        <v>297</v>
      </c>
      <c r="Q80" s="688"/>
      <c r="R80" s="674"/>
      <c r="S80" s="674"/>
      <c r="T80" s="674"/>
      <c r="U80" s="1022"/>
      <c r="V80" s="514"/>
      <c r="W80" s="675"/>
      <c r="X80" s="636" t="str">
        <f t="shared" si="0"/>
        <v/>
      </c>
      <c r="Y80" s="706"/>
      <c r="Z80" s="640"/>
      <c r="AA80" s="1022"/>
      <c r="AB80" s="637"/>
      <c r="AC80" s="637"/>
      <c r="AD80" s="637"/>
      <c r="AE80" s="139"/>
      <c r="AF80" s="642"/>
      <c r="AG80" s="583"/>
      <c r="AH80" s="139"/>
      <c r="AI80" s="637"/>
      <c r="AJ80" s="139"/>
      <c r="AK80" s="416" t="str">
        <f t="shared" si="1"/>
        <v/>
      </c>
      <c r="AL80" s="642"/>
      <c r="AM80" s="637"/>
      <c r="AN80" s="637"/>
      <c r="AO80" s="139"/>
      <c r="AP80" s="647"/>
      <c r="AQ80" s="789"/>
      <c r="AR80" s="789"/>
      <c r="AS80" s="790"/>
    </row>
    <row r="81" spans="1:45" x14ac:dyDescent="0.25">
      <c r="A81" s="628"/>
      <c r="B81" s="668" t="s">
        <v>297</v>
      </c>
      <c r="C81" s="668" t="s">
        <v>297</v>
      </c>
      <c r="D81" s="668" t="s">
        <v>297</v>
      </c>
      <c r="E81" s="710"/>
      <c r="F81" s="711"/>
      <c r="G81" s="668"/>
      <c r="H81" s="712"/>
      <c r="I81" s="712" t="str">
        <f t="shared" ref="I81:I87" si="21">IF(G81="","",IF(G81="Proprietary","Filterra","Clearinghouse Not Used"))</f>
        <v/>
      </c>
      <c r="J81" s="712"/>
      <c r="K81" s="712"/>
      <c r="L81" s="712"/>
      <c r="M81" s="712"/>
      <c r="N81" s="712"/>
      <c r="O81" s="712"/>
      <c r="P81" s="712"/>
      <c r="Q81" s="712"/>
      <c r="R81" s="712"/>
      <c r="S81" s="712"/>
      <c r="T81" s="712"/>
      <c r="U81" s="712"/>
      <c r="V81" s="712"/>
      <c r="W81" s="712"/>
      <c r="X81" s="760" t="str">
        <f t="shared" ref="X81:X144" si="22">IF(W81="","",IF(I81="Filterra",0.5,IF(I81="Stormfilter",0.45,"NA")))</f>
        <v/>
      </c>
      <c r="Y81" s="713"/>
      <c r="Z81" s="712"/>
      <c r="AA81" s="712"/>
      <c r="AB81" s="638"/>
      <c r="AC81" s="638"/>
      <c r="AD81" s="638"/>
      <c r="AE81" s="629"/>
      <c r="AF81" s="666"/>
      <c r="AG81" s="666"/>
      <c r="AH81" s="629"/>
      <c r="AI81" s="638"/>
      <c r="AJ81" s="629"/>
      <c r="AK81" s="639" t="str">
        <f t="shared" ref="AK81:AK143" si="23">IF(AJ81="","",IF(OR(AF81=Y81,AF81=AA81),MAX(AH81,AJ81),IF(AF81=AC81,AH81,IF(AF81=AE81,AJ81))))</f>
        <v/>
      </c>
      <c r="AL81" s="644"/>
      <c r="AM81" s="638"/>
      <c r="AN81" s="638"/>
      <c r="AO81" s="629"/>
      <c r="AP81" s="648"/>
      <c r="AQ81" s="791"/>
      <c r="AR81" s="791"/>
      <c r="AS81" s="792"/>
    </row>
    <row r="82" spans="1:45" ht="14.45" customHeight="1" x14ac:dyDescent="0.25">
      <c r="A82" s="261"/>
      <c r="B82" s="510" t="s">
        <v>297</v>
      </c>
      <c r="C82" s="510" t="s">
        <v>297</v>
      </c>
      <c r="D82" s="510" t="s">
        <v>297</v>
      </c>
      <c r="E82" s="704"/>
      <c r="F82" s="705"/>
      <c r="G82" s="510"/>
      <c r="H82" s="511"/>
      <c r="I82" s="261" t="str">
        <f t="shared" si="21"/>
        <v/>
      </c>
      <c r="J82" s="511"/>
      <c r="K82" s="511"/>
      <c r="L82" s="510"/>
      <c r="M82" s="510"/>
      <c r="N82" s="672"/>
      <c r="O82" s="514"/>
      <c r="P82" s="514" t="s">
        <v>297</v>
      </c>
      <c r="Q82" s="688"/>
      <c r="R82" s="674"/>
      <c r="S82" s="674"/>
      <c r="T82" s="674"/>
      <c r="U82" s="1022"/>
      <c r="V82" s="514"/>
      <c r="W82" s="675"/>
      <c r="X82" s="636" t="str">
        <f t="shared" si="22"/>
        <v/>
      </c>
      <c r="Y82" s="706"/>
      <c r="Z82" s="640"/>
      <c r="AA82" s="1022"/>
      <c r="AB82" s="637"/>
      <c r="AC82" s="637"/>
      <c r="AD82" s="637"/>
      <c r="AE82" s="139"/>
      <c r="AF82" s="642"/>
      <c r="AG82" s="583"/>
      <c r="AH82" s="139"/>
      <c r="AI82" s="637"/>
      <c r="AJ82" s="139"/>
      <c r="AK82" s="416" t="str">
        <f t="shared" si="23"/>
        <v/>
      </c>
      <c r="AL82" s="642"/>
      <c r="AM82" s="637"/>
      <c r="AN82" s="637"/>
      <c r="AO82" s="139"/>
      <c r="AP82" s="647"/>
      <c r="AQ82" s="789"/>
      <c r="AR82" s="789"/>
      <c r="AS82" s="790"/>
    </row>
    <row r="83" spans="1:45" ht="30" x14ac:dyDescent="0.25">
      <c r="A83" s="261" t="s">
        <v>661</v>
      </c>
      <c r="B83" s="510">
        <v>38.029927999999998</v>
      </c>
      <c r="C83" s="510">
        <v>-78.452622000000005</v>
      </c>
      <c r="D83" s="510" t="s">
        <v>296</v>
      </c>
      <c r="E83" s="511">
        <v>138.01</v>
      </c>
      <c r="F83" s="669">
        <v>39063</v>
      </c>
      <c r="G83" s="510" t="s">
        <v>289</v>
      </c>
      <c r="H83" s="511" t="s">
        <v>655</v>
      </c>
      <c r="I83" s="511" t="str">
        <f t="shared" si="21"/>
        <v>Filterra</v>
      </c>
      <c r="J83" s="511" t="s">
        <v>411</v>
      </c>
      <c r="K83" s="511" t="s">
        <v>662</v>
      </c>
      <c r="L83" s="671"/>
      <c r="M83" s="671">
        <f>N83+O83+P83</f>
        <v>0.30038313268310002</v>
      </c>
      <c r="N83" s="672">
        <v>0.233975196366</v>
      </c>
      <c r="O83" s="514">
        <v>6.64079363171E-2</v>
      </c>
      <c r="P83" s="514">
        <v>0</v>
      </c>
      <c r="Q83" s="673">
        <f>+N83/M83</f>
        <v>0.7789225522620824</v>
      </c>
      <c r="R83" s="674">
        <f>IF(L82="TT",(1.76*N83+0.5*O83+0.13*P83)-AF82,1.76*N83+0.5*O83+0.13*P83)</f>
        <v>0.44500031376270999</v>
      </c>
      <c r="S83" s="674">
        <f>IF(L82="TT",(M83*9.39+N83*6.99+O83*2.36)-AK82,M83*9.39+N83*6.99+O83*2.36)</f>
        <v>4.6128069682010056</v>
      </c>
      <c r="T83" s="674">
        <f>IF(L82="TT",(M83*676.94+N83*101.08+O83*77.38)-AP82,M83*676.94+N83*101.08+O83*77.38)</f>
        <v>232.13021679939021</v>
      </c>
      <c r="U83" s="1022" t="s">
        <v>278</v>
      </c>
      <c r="V83" s="514">
        <v>35.4</v>
      </c>
      <c r="W83" s="675">
        <f>IF(V83="NA", 0, (V83)*12/N83/43560)</f>
        <v>4.1679914226667128E-2</v>
      </c>
      <c r="X83" s="636">
        <f t="shared" si="22"/>
        <v>0.5</v>
      </c>
      <c r="Y83" s="706">
        <f>IF(X83="NA",0,R83*X83)</f>
        <v>0.22250015688135499</v>
      </c>
      <c r="Z83" s="635">
        <f>IF(ISNA(VLOOKUP(J83,'Efficiency Lookup'!$B$2:$C$38,2,FALSE)),0,(VLOOKUP(J83,'Efficiency Lookup'!$B$2:$C$38,2,FALSE)))</f>
        <v>0</v>
      </c>
      <c r="AA83" s="139">
        <f>R83*Z83</f>
        <v>0</v>
      </c>
      <c r="AB83" s="635">
        <f>IF(ISNA(VLOOKUP(K83,'Efficiency Lookup'!$D$2:$E$35,2,FALSE)),0,VLOOKUP(K83,'Efficiency Lookup'!$D$2:$E$35,2,FALSE))</f>
        <v>0</v>
      </c>
      <c r="AC83" s="139">
        <f>R83*AB83</f>
        <v>0</v>
      </c>
      <c r="AD83" s="637">
        <f>IF(U83="RR",IF((0.0304*(W83^5)-0.2619*(W83^4)+0.9161*(W83^3)-1.6837*(W83^2)+1.7072*W83-0.0091)&gt;0.85,0.85,IF((0.0304*(W83^5)-0.2619*(W83^4)+0.9161*(W83^3)-1.6837*(W83^2)+1.7072*W83-0.0091)&lt;0,0,(0.0304*(W83^5)-0.2619*(W83^4)+0.9161*(W83^3)-1.6837*(W83^2)+1.7072*W83-0.0091))),IF((0.0239*(W83^5)-0.2058*(W83^4)+0.7198*(W83^3)-1.3229*(W83^2)+1.3414*W83-0.0072)&gt;0.65,0.65,IF((0.0239*(W83^5)-0.2058*(W83^4)+0.7198*(W83^3)-1.3229*(W83^2)+1.3414*W83-0.0072)&lt;0,0,(0.0239*(W83^5)-0.2058*(W83^4)+0.7198*(W83^3)-1.3229*(W83^2)+1.3414*W83-0.0072))))</f>
        <v>4.6462775354601055E-2</v>
      </c>
      <c r="AE83" s="139">
        <f>R83*AD83</f>
        <v>2.067594961108378E-2</v>
      </c>
      <c r="AF83" s="516">
        <f>MAX(Y83,AA83,AC83,AE83)</f>
        <v>0.22250015688135499</v>
      </c>
      <c r="AG83" s="634">
        <f>IF(ISNA(VLOOKUP(K83,'Efficiency Lookup'!$D$2:$G$35,3,FALSE)),0,VLOOKUP(K83,'Efficiency Lookup'!$D$2:$G$35,3,FALSE))</f>
        <v>0</v>
      </c>
      <c r="AH83" s="139">
        <f>S83*AG83</f>
        <v>0</v>
      </c>
      <c r="AI83" s="521">
        <f>IF(U83="RR",IF((0.0308*(W83^5)-0.2562*(W83^4)+0.8634*(W83^3)-1.5285*(W83^2)+1.501*W83-0.013)&gt;0.7,0.7,IF((0.0308*(W83^5)-0.2562*(W83^4)+0.8634*(W83^3)-1.5285*(W83^2)+1.501*W83-0.013)&lt;0,0,(0.0308*(W83^5)-0.2562*(W83^4)+0.8634*(W83^3)-1.5285*(W83^2)+1.501*W83-0.013))),IF((0.0152*(W83^5)-0.131*(W83^4)+0.4581*(W83^3)-0.8418*(W83^2)+0.8536*W83-0.0046)&gt;0.65,0.65,IF((0.0152*(W83^5)-0.131*(W83^4)+0.4581*(W83^3)-0.8418*(W83^2)+0.8536*W83-0.0046)&lt;0,0,(0.0152*(W83^5)-0.131*(W83^4)+0.4581*(W83^3)-0.8418*(W83^2)+0.8536*W83-0.0046))))</f>
        <v>2.954836319006663E-2</v>
      </c>
      <c r="AJ83" s="1005">
        <f>S83*AI83</f>
        <v>0.13630089562207345</v>
      </c>
      <c r="AK83" s="416">
        <f t="shared" si="23"/>
        <v>0.13630089562207345</v>
      </c>
      <c r="AL83" s="634">
        <f>IF(ISNA(VLOOKUP(K83,'Efficiency Lookup'!$D$2:$G$35,4,FALSE)),0,VLOOKUP(K83,'Efficiency Lookup'!$D$2:$G$35,4,FALSE))</f>
        <v>0</v>
      </c>
      <c r="AM83" s="139">
        <f>T83*AL83</f>
        <v>0</v>
      </c>
      <c r="AN83" s="521">
        <f>IF(U83="RR",IF((0.0326*(W83^5)-0.2806*(W83^4)+0.9816*(W83^3)-1.8039*(W83^2)+1.8292*W83-0.0098)&gt;0.85,0.85,IF((0.0326*(W83^5)-0.2806*(W83^4)+0.9816*(W83^3)-1.8039*(W83^2)+1.8292*W83-0.0098)&lt;0,0,(0.0326*(W83^5)-0.2806*(W83^4)+0.9816*(W83^3)-1.8039*(W83^2)+1.8292*W83-0.0098))),IF((0.0304*(W83^5)-0.2619*(W83^4)+0.9161*(W83^3)-1.6837*(W83^2)+1.7072*W83-0.0091)&gt;0.8,0.8,IF((0.0304*(W83^5)-0.2619*(W83^4)+0.9161*(W83^3)-1.6837*(W83^2)+1.7072*W83-0.0091)&lt;0,0,(0.0304*(W83^5)-0.2619*(W83^4)+0.9161*(W83^3)-1.6837*(W83^2)+1.7072*W83-0.0091))))</f>
        <v>5.919654571970169E-2</v>
      </c>
      <c r="AO83" s="1005">
        <f>T83*AN83</f>
        <v>13.741306991689369</v>
      </c>
      <c r="AP83" s="647">
        <f>IF(AK83=AH83,AM83,AO83)</f>
        <v>13.741306991689369</v>
      </c>
      <c r="AQ83" s="789">
        <f>IF(AF83&lt;0,0,AF83)</f>
        <v>0.22250015688135499</v>
      </c>
      <c r="AR83" s="789">
        <f>IF(AK83&lt;0,0,AK83)</f>
        <v>0.13630089562207345</v>
      </c>
      <c r="AS83" s="790">
        <f>IF(AP83&lt;0,0,AP83)</f>
        <v>13.741306991689369</v>
      </c>
    </row>
    <row r="84" spans="1:45" ht="30" x14ac:dyDescent="0.25">
      <c r="A84" s="261" t="s">
        <v>661</v>
      </c>
      <c r="B84" s="510">
        <v>38.030194999999999</v>
      </c>
      <c r="C84" s="510">
        <v>-78.453536</v>
      </c>
      <c r="D84" s="510" t="s">
        <v>286</v>
      </c>
      <c r="E84" s="511">
        <v>138.02000000000001</v>
      </c>
      <c r="F84" s="669">
        <v>39063</v>
      </c>
      <c r="G84" s="510" t="s">
        <v>289</v>
      </c>
      <c r="H84" s="511" t="s">
        <v>655</v>
      </c>
      <c r="I84" s="511" t="str">
        <f t="shared" si="21"/>
        <v>Filterra</v>
      </c>
      <c r="J84" s="511" t="s">
        <v>411</v>
      </c>
      <c r="K84" s="511" t="s">
        <v>662</v>
      </c>
      <c r="L84" s="671"/>
      <c r="M84" s="671">
        <f>N84+O84+P84</f>
        <v>0.32717127339448399</v>
      </c>
      <c r="N84" s="672">
        <v>0.24999474985468401</v>
      </c>
      <c r="O84" s="514">
        <v>7.7176523539799993E-2</v>
      </c>
      <c r="P84" s="514">
        <v>0</v>
      </c>
      <c r="Q84" s="673">
        <f>+N84/M84</f>
        <v>0.76410971923337223</v>
      </c>
      <c r="R84" s="674">
        <f>IF(L83="TT",(1.76*N84+0.5*O84+0.13*P84)-AF83,1.76*N84+0.5*O84+0.13*P84)</f>
        <v>0.47857902151414383</v>
      </c>
      <c r="S84" s="674">
        <f>IF(L83="TT",(M84*9.39+N84*6.99+O84*2.36)-AK83,M84*9.39+N84*6.99+O84*2.36)</f>
        <v>5.001738154212374</v>
      </c>
      <c r="T84" s="674">
        <f>IF(L83="TT",(M84*676.94+N84*101.08+O84*77.38)-AP83,M84*676.94+N84*101.08+O84*77.38)</f>
        <v>252.71671051848318</v>
      </c>
      <c r="U84" s="1022" t="s">
        <v>278</v>
      </c>
      <c r="V84" s="514">
        <v>35.4</v>
      </c>
      <c r="W84" s="675">
        <f>IF(V84="NA", 0, (V84)*12/N84/43560)</f>
        <v>3.9009083676241695E-2</v>
      </c>
      <c r="X84" s="636">
        <f t="shared" si="22"/>
        <v>0.5</v>
      </c>
      <c r="Y84" s="706">
        <f>IF(X84="NA",0,R84*X84)</f>
        <v>0.23928951075707192</v>
      </c>
      <c r="Z84" s="635">
        <f>IF(ISNA(VLOOKUP(J84,'Efficiency Lookup'!$B$2:$C$38,2,FALSE)),0,(VLOOKUP(J84,'Efficiency Lookup'!$B$2:$C$38,2,FALSE)))</f>
        <v>0</v>
      </c>
      <c r="AA84" s="139">
        <f>R84*Z84</f>
        <v>0</v>
      </c>
      <c r="AB84" s="635">
        <f>IF(ISNA(VLOOKUP(K84,'Efficiency Lookup'!$D$2:$E$35,2,FALSE)),0,VLOOKUP(K84,'Efficiency Lookup'!$D$2:$E$35,2,FALSE))</f>
        <v>0</v>
      </c>
      <c r="AC84" s="139">
        <f>R84*AB84</f>
        <v>0</v>
      </c>
      <c r="AD84" s="637">
        <f>IF(U84="RR",IF((0.0304*(W84^5)-0.2619*(W84^4)+0.9161*(W84^3)-1.6837*(W84^2)+1.7072*W84-0.0091)&gt;0.85,0.85,IF((0.0304*(W84^5)-0.2619*(W84^4)+0.9161*(W84^3)-1.6837*(W84^2)+1.7072*W84-0.0091)&lt;0,0,(0.0304*(W84^5)-0.2619*(W84^4)+0.9161*(W84^3)-1.6837*(W84^2)+1.7072*W84-0.0091))),IF((0.0239*(W84^5)-0.2058*(W84^4)+0.7198*(W84^3)-1.3229*(W84^2)+1.3414*W84-0.0072)&gt;0.65,0.65,IF((0.0239*(W84^5)-0.2058*(W84^4)+0.7198*(W84^3)-1.3229*(W84^2)+1.3414*W84-0.0072)&lt;0,0,(0.0239*(W84^5)-0.2058*(W84^4)+0.7198*(W84^3)-1.3229*(W84^2)+1.3414*W84-0.0072))))</f>
        <v>4.3155969791116182E-2</v>
      </c>
      <c r="AE84" s="139">
        <f>R84*AD84</f>
        <v>2.0653541795126334E-2</v>
      </c>
      <c r="AF84" s="516">
        <f>MAX(Y84,AA84,AC84,AE84)</f>
        <v>0.23928951075707192</v>
      </c>
      <c r="AG84" s="634">
        <f>IF(ISNA(VLOOKUP(K84,'Efficiency Lookup'!$D$2:$G$35,3,FALSE)),0,VLOOKUP(K84,'Efficiency Lookup'!$D$2:$G$35,3,FALSE))</f>
        <v>0</v>
      </c>
      <c r="AH84" s="139">
        <f>S84*AG84</f>
        <v>0</v>
      </c>
      <c r="AI84" s="521">
        <f>IF(U84="RR",IF((0.0308*(W84^5)-0.2562*(W84^4)+0.8634*(W84^3)-1.5285*(W84^2)+1.501*W84-0.013)&gt;0.7,0.7,IF((0.0308*(W84^5)-0.2562*(W84^4)+0.8634*(W84^3)-1.5285*(W84^2)+1.501*W84-0.013)&lt;0,0,(0.0308*(W84^5)-0.2562*(W84^4)+0.8634*(W84^3)-1.5285*(W84^2)+1.501*W84-0.013))),IF((0.0152*(W84^5)-0.131*(W84^4)+0.4581*(W84^3)-0.8418*(W84^2)+0.8536*W84-0.0046)&gt;0.65,0.65,IF((0.0152*(W84^5)-0.131*(W84^4)+0.4581*(W84^3)-0.8418*(W84^2)+0.8536*W84-0.0046)&lt;0,0,(0.0152*(W84^5)-0.131*(W84^4)+0.4581*(W84^3)-0.8418*(W84^2)+0.8536*W84-0.0046))))</f>
        <v>2.744407057457638E-2</v>
      </c>
      <c r="AJ84" s="1005">
        <f>S84*AI84</f>
        <v>0.1372680548997558</v>
      </c>
      <c r="AK84" s="416">
        <f t="shared" si="23"/>
        <v>0.1372680548997558</v>
      </c>
      <c r="AL84" s="634">
        <f>IF(ISNA(VLOOKUP(K84,'Efficiency Lookup'!$D$2:$G$35,4,FALSE)),0,VLOOKUP(K84,'Efficiency Lookup'!$D$2:$G$35,4,FALSE))</f>
        <v>0</v>
      </c>
      <c r="AM84" s="139">
        <f>T84*AL84</f>
        <v>0</v>
      </c>
      <c r="AN84" s="521">
        <f>IF(U84="RR",IF((0.0326*(W84^5)-0.2806*(W84^4)+0.9816*(W84^3)-1.8039*(W84^2)+1.8292*W84-0.0098)&gt;0.85,0.85,IF((0.0326*(W84^5)-0.2806*(W84^4)+0.9816*(W84^3)-1.8039*(W84^2)+1.8292*W84-0.0098)&lt;0,0,(0.0326*(W84^5)-0.2806*(W84^4)+0.9816*(W84^3)-1.8039*(W84^2)+1.8292*W84-0.0098))),IF((0.0304*(W84^5)-0.2619*(W84^4)+0.9161*(W84^3)-1.6837*(W84^2)+1.7072*W84-0.0091)&gt;0.8,0.8,IF((0.0304*(W84^5)-0.2619*(W84^4)+0.9161*(W84^3)-1.6837*(W84^2)+1.7072*W84-0.0091)&lt;0,0,(0.0304*(W84^5)-0.2619*(W84^4)+0.9161*(W84^3)-1.6837*(W84^2)+1.7072*W84-0.0091))))</f>
        <v>5.4987983273805704E-2</v>
      </c>
      <c r="AO84" s="1005">
        <f>T84*AN84</f>
        <v>13.896382251001551</v>
      </c>
      <c r="AP84" s="647">
        <f>IF(AK84=AH84,AM84,AO84)</f>
        <v>13.896382251001551</v>
      </c>
      <c r="AQ84" s="789">
        <f>IF(AF84&lt;0,0,AF84)</f>
        <v>0.23928951075707192</v>
      </c>
      <c r="AR84" s="789">
        <f>IF(AK84&lt;0,0,AK84)</f>
        <v>0.1372680548997558</v>
      </c>
      <c r="AS84" s="790">
        <f>IF(AP84&lt;0,0,AP84)</f>
        <v>13.896382251001551</v>
      </c>
    </row>
    <row r="85" spans="1:45" x14ac:dyDescent="0.25">
      <c r="A85" s="261"/>
      <c r="B85" s="510" t="s">
        <v>297</v>
      </c>
      <c r="C85" s="510" t="s">
        <v>297</v>
      </c>
      <c r="D85" s="510" t="s">
        <v>297</v>
      </c>
      <c r="E85" s="511"/>
      <c r="F85" s="705"/>
      <c r="G85" s="510"/>
      <c r="H85" s="511"/>
      <c r="I85" s="261" t="str">
        <f t="shared" si="21"/>
        <v/>
      </c>
      <c r="J85" s="511"/>
      <c r="K85" s="511"/>
      <c r="L85" s="510"/>
      <c r="M85" s="510"/>
      <c r="N85" s="672"/>
      <c r="O85" s="514"/>
      <c r="P85" s="514" t="s">
        <v>297</v>
      </c>
      <c r="Q85" s="688"/>
      <c r="R85" s="674"/>
      <c r="S85" s="674"/>
      <c r="T85" s="674"/>
      <c r="U85" s="1022"/>
      <c r="V85" s="514"/>
      <c r="W85" s="675"/>
      <c r="X85" s="636" t="str">
        <f t="shared" si="22"/>
        <v/>
      </c>
      <c r="Y85" s="706"/>
      <c r="Z85" s="640"/>
      <c r="AA85" s="1022"/>
      <c r="AB85" s="637"/>
      <c r="AC85" s="637"/>
      <c r="AD85" s="637"/>
      <c r="AE85" s="139"/>
      <c r="AF85" s="642"/>
      <c r="AG85" s="583"/>
      <c r="AH85" s="139"/>
      <c r="AI85" s="637"/>
      <c r="AJ85" s="139"/>
      <c r="AK85" s="416" t="str">
        <f t="shared" si="23"/>
        <v/>
      </c>
      <c r="AL85" s="642"/>
      <c r="AM85" s="637"/>
      <c r="AN85" s="637"/>
      <c r="AO85" s="139"/>
      <c r="AP85" s="647"/>
      <c r="AQ85" s="789"/>
      <c r="AR85" s="789"/>
      <c r="AS85" s="790"/>
    </row>
    <row r="86" spans="1:45" x14ac:dyDescent="0.25">
      <c r="A86" s="628"/>
      <c r="B86" s="668" t="s">
        <v>297</v>
      </c>
      <c r="C86" s="668" t="s">
        <v>297</v>
      </c>
      <c r="D86" s="668" t="s">
        <v>297</v>
      </c>
      <c r="E86" s="710"/>
      <c r="F86" s="711"/>
      <c r="G86" s="668"/>
      <c r="H86" s="712"/>
      <c r="I86" s="712" t="str">
        <f t="shared" si="21"/>
        <v/>
      </c>
      <c r="J86" s="712"/>
      <c r="K86" s="712"/>
      <c r="L86" s="712"/>
      <c r="M86" s="712"/>
      <c r="N86" s="712"/>
      <c r="O86" s="712"/>
      <c r="P86" s="712"/>
      <c r="Q86" s="712"/>
      <c r="R86" s="712"/>
      <c r="S86" s="712"/>
      <c r="T86" s="712"/>
      <c r="U86" s="712"/>
      <c r="V86" s="712"/>
      <c r="W86" s="712"/>
      <c r="X86" s="760" t="str">
        <f t="shared" si="22"/>
        <v/>
      </c>
      <c r="Y86" s="713"/>
      <c r="Z86" s="712"/>
      <c r="AA86" s="712"/>
      <c r="AB86" s="638"/>
      <c r="AC86" s="638"/>
      <c r="AD86" s="638"/>
      <c r="AE86" s="629"/>
      <c r="AF86" s="666"/>
      <c r="AG86" s="666"/>
      <c r="AH86" s="629"/>
      <c r="AI86" s="638"/>
      <c r="AJ86" s="629"/>
      <c r="AK86" s="639" t="str">
        <f t="shared" si="23"/>
        <v/>
      </c>
      <c r="AL86" s="644"/>
      <c r="AM86" s="638"/>
      <c r="AN86" s="638"/>
      <c r="AO86" s="629"/>
      <c r="AP86" s="648"/>
      <c r="AQ86" s="791"/>
      <c r="AR86" s="791"/>
      <c r="AS86" s="792"/>
    </row>
    <row r="87" spans="1:45" ht="14.45" customHeight="1" x14ac:dyDescent="0.25">
      <c r="A87" s="261"/>
      <c r="B87" s="510" t="s">
        <v>297</v>
      </c>
      <c r="C87" s="510" t="s">
        <v>297</v>
      </c>
      <c r="D87" s="510" t="s">
        <v>297</v>
      </c>
      <c r="E87" s="704"/>
      <c r="F87" s="705"/>
      <c r="G87" s="510"/>
      <c r="H87" s="511"/>
      <c r="I87" s="261" t="str">
        <f t="shared" si="21"/>
        <v/>
      </c>
      <c r="J87" s="511"/>
      <c r="K87" s="511"/>
      <c r="L87" s="510"/>
      <c r="M87" s="510"/>
      <c r="N87" s="672"/>
      <c r="O87" s="514"/>
      <c r="P87" s="514" t="s">
        <v>297</v>
      </c>
      <c r="Q87" s="688"/>
      <c r="R87" s="674"/>
      <c r="S87" s="674"/>
      <c r="T87" s="674"/>
      <c r="U87" s="1022"/>
      <c r="V87" s="514"/>
      <c r="W87" s="675"/>
      <c r="X87" s="636" t="str">
        <f t="shared" si="22"/>
        <v/>
      </c>
      <c r="Y87" s="706"/>
      <c r="Z87" s="640"/>
      <c r="AA87" s="1022"/>
      <c r="AB87" s="637"/>
      <c r="AC87" s="637"/>
      <c r="AD87" s="637"/>
      <c r="AE87" s="139"/>
      <c r="AF87" s="642"/>
      <c r="AG87" s="583"/>
      <c r="AH87" s="139"/>
      <c r="AI87" s="637"/>
      <c r="AJ87" s="139"/>
      <c r="AK87" s="416" t="str">
        <f t="shared" si="23"/>
        <v/>
      </c>
      <c r="AL87" s="642"/>
      <c r="AM87" s="637"/>
      <c r="AN87" s="637"/>
      <c r="AO87" s="139"/>
      <c r="AP87" s="647"/>
      <c r="AQ87" s="789"/>
      <c r="AR87" s="789"/>
      <c r="AS87" s="790"/>
    </row>
    <row r="88" spans="1:45" ht="30" x14ac:dyDescent="0.25">
      <c r="A88" s="261" t="s">
        <v>663</v>
      </c>
      <c r="B88" s="510">
        <v>38.069871999999997</v>
      </c>
      <c r="C88" s="510">
        <v>-78.457899999999995</v>
      </c>
      <c r="D88" s="510" t="s">
        <v>296</v>
      </c>
      <c r="E88" s="511">
        <v>238.03</v>
      </c>
      <c r="F88" s="669">
        <v>38775</v>
      </c>
      <c r="G88" s="510" t="s">
        <v>274</v>
      </c>
      <c r="H88" s="670"/>
      <c r="I88" s="511"/>
      <c r="J88" s="511" t="s">
        <v>530</v>
      </c>
      <c r="K88" s="511" t="s">
        <v>277</v>
      </c>
      <c r="L88" s="671"/>
      <c r="M88" s="671">
        <f>N88+O88+P88</f>
        <v>40.930883312104271</v>
      </c>
      <c r="N88" s="672">
        <v>10.423365758470569</v>
      </c>
      <c r="O88" s="514">
        <v>22.268883545039333</v>
      </c>
      <c r="P88" s="514">
        <v>8.2386340085943708</v>
      </c>
      <c r="Q88" s="673">
        <f>+N88/M88</f>
        <v>0.25465772822420674</v>
      </c>
      <c r="R88" s="674">
        <f>IF(L87="TT",(1.76*N88+0.5*O88+0.13*P88)-AF87,1.76*N88+0.5*O88+0.13*P88)</f>
        <v>30.550587928545134</v>
      </c>
      <c r="S88" s="674">
        <f>IF(L87="TT",(M88*9.39+N88*6.99+O88*2.36)-AK87,M88*9.39+N88*6.99+O88*2.36)</f>
        <v>509.75488611866126</v>
      </c>
      <c r="T88" s="674">
        <f>IF(L87="TT",(M88*676.94+N88*101.08+O88*77.38)-AP87,M88*676.94+N88*101.08+O88*77.38)</f>
        <v>30484.512168877212</v>
      </c>
      <c r="U88" s="1022" t="s">
        <v>278</v>
      </c>
      <c r="V88" s="514">
        <f>4120.7*27</f>
        <v>111258.9</v>
      </c>
      <c r="W88" s="675">
        <f>IF(V88="NA", 0, (V88)*12/N88/43560)</f>
        <v>2.9404930634652393</v>
      </c>
      <c r="X88" s="634" t="str">
        <f t="shared" si="22"/>
        <v>NA</v>
      </c>
      <c r="Y88" s="676">
        <f>IF(X88="NA",0,R88*X88)</f>
        <v>0</v>
      </c>
      <c r="Z88" s="635">
        <f>IF(ISNA(VLOOKUP(J88,'Efficiency Lookup'!$B$2:$C$38,2,FALSE)),0,(VLOOKUP(J88,'Efficiency Lookup'!$B$2:$C$38,2,FALSE)))</f>
        <v>0.4</v>
      </c>
      <c r="AA88" s="139">
        <f>R88*Z88</f>
        <v>12.220235171418054</v>
      </c>
      <c r="AB88" s="635">
        <f>IF(ISNA(VLOOKUP(K88,'Efficiency Lookup'!$D$2:$E$35,2,FALSE)),0,VLOOKUP(K88,'Efficiency Lookup'!$D$2:$E$35,2,FALSE))</f>
        <v>0.45</v>
      </c>
      <c r="AC88" s="139">
        <f>R88*AB88</f>
        <v>13.74776456784531</v>
      </c>
      <c r="AD88" s="521">
        <f>IF(U88="RR",IF((0.0304*(W88^5)-0.2619*(W88^4)+0.9161*(W88^3)-1.6837*(W88^2)+1.7072*W88-0.0091)&gt;0.85,0.85,IF((0.0304*(W88^5)-0.2619*(W88^4)+0.9161*(W88^3)-1.6837*(W88^2)+1.7072*W88-0.0091)&lt;0,0,(0.0304*(W88^5)-0.2619*(W88^4)+0.9161*(W88^3)-1.6837*(W88^2)+1.7072*W88-0.0091))),IF((0.0239*(W88^5)-0.2058*(W88^4)+0.7198*(W88^3)-1.3229*(W88^2)+1.3414*W88-0.0072)&gt;0.65,0.65,IF((0.0239*(W88^5)-0.2058*(W88^4)+0.7198*(W88^3)-1.3229*(W88^2)+1.3414*W88-0.0072)&lt;0,0,(0.0239*(W88^5)-0.2058*(W88^4)+0.7198*(W88^3)-1.3229*(W88^2)+1.3414*W88-0.0072))))</f>
        <v>0.65</v>
      </c>
      <c r="AE88" s="1005">
        <f>R88*AD88</f>
        <v>19.857882153554339</v>
      </c>
      <c r="AF88" s="516">
        <f>MAX(Y88,AA88,AC88,AE88)</f>
        <v>19.857882153554339</v>
      </c>
      <c r="AG88" s="634">
        <f>IF(ISNA(VLOOKUP(K88,'Efficiency Lookup'!$D$2:$G$35,3,FALSE)),0,VLOOKUP(K88,'Efficiency Lookup'!$D$2:$G$35,3,FALSE))</f>
        <v>0.2</v>
      </c>
      <c r="AH88" s="139">
        <f>S88*AG88</f>
        <v>101.95097722373225</v>
      </c>
      <c r="AI88" s="521">
        <f>IF(U88="RR",IF((0.0308*(W88^5)-0.2562*(W88^4)+0.8634*(W88^3)-1.5285*(W88^2)+1.501*W88-0.013)&gt;0.7,0.7,IF((0.0308*(W88^5)-0.2562*(W88^4)+0.8634*(W88^3)-1.5285*(W88^2)+1.501*W88-0.013)&lt;0,0,(0.0308*(W88^5)-0.2562*(W88^4)+0.8634*(W88^3)-1.5285*(W88^2)+1.501*W88-0.013))),IF((0.0152*(W88^5)-0.131*(W88^4)+0.4581*(W88^3)-0.8418*(W88^2)+0.8536*W88-0.0046)&gt;0.65,0.65,IF((0.0152*(W88^5)-0.131*(W88^4)+0.4581*(W88^3)-0.8418*(W88^2)+0.8536*W88-0.0046)&lt;0,0,(0.0152*(W88^5)-0.131*(W88^4)+0.4581*(W88^3)-0.8418*(W88^2)+0.8536*W88-0.0046))))</f>
        <v>0.42166779485609623</v>
      </c>
      <c r="AJ88" s="1005">
        <f>S88*AI88</f>
        <v>214.94721874677634</v>
      </c>
      <c r="AK88" s="416">
        <f t="shared" si="23"/>
        <v>214.94721874677634</v>
      </c>
      <c r="AL88" s="634">
        <f>IF(ISNA(VLOOKUP(K88,'Efficiency Lookup'!$D$2:$G$35,4,FALSE)),0,VLOOKUP(K88,'Efficiency Lookup'!$D$2:$G$35,4,FALSE))</f>
        <v>0.6</v>
      </c>
      <c r="AM88" s="139">
        <f>T88*AL88</f>
        <v>18290.707301326325</v>
      </c>
      <c r="AN88" s="521">
        <f>IF(U88="RR",IF((0.0326*(W88^5)-0.2806*(W88^4)+0.9816*(W88^3)-1.8039*(W88^2)+1.8292*W88-0.0098)&gt;0.85,0.85,IF((0.0326*(W88^5)-0.2806*(W88^4)+0.9816*(W88^3)-1.8039*(W88^2)+1.8292*W88-0.0098)&lt;0,0,(0.0326*(W88^5)-0.2806*(W88^4)+0.9816*(W88^3)-1.8039*(W88^2)+1.8292*W88-0.0098))),IF((0.0304*(W88^5)-0.2619*(W88^4)+0.9161*(W88^3)-1.6837*(W88^2)+1.7072*W88-0.0091)&gt;0.8,0.8,IF((0.0304*(W88^5)-0.2619*(W88^4)+0.9161*(W88^3)-1.6837*(W88^2)+1.7072*W88-0.0091)&lt;0,0,(0.0304*(W88^5)-0.2619*(W88^4)+0.9161*(W88^3)-1.6837*(W88^2)+1.7072*W88-0.0091))))</f>
        <v>0.8</v>
      </c>
      <c r="AO88" s="1005">
        <f>T88*AN88</f>
        <v>24387.609735101771</v>
      </c>
      <c r="AP88" s="647">
        <f>IF(AK88=AH88,AM88,AO88)</f>
        <v>24387.609735101771</v>
      </c>
      <c r="AQ88" s="789">
        <f>IF(AF88&lt;0,0,AF88)</f>
        <v>19.857882153554339</v>
      </c>
      <c r="AR88" s="789">
        <f>IF(AK88&lt;0,0,AK88)</f>
        <v>214.94721874677634</v>
      </c>
      <c r="AS88" s="790">
        <f>IF(AP88&lt;0,0,AP88)</f>
        <v>24387.609735101771</v>
      </c>
    </row>
    <row r="89" spans="1:45" x14ac:dyDescent="0.25">
      <c r="A89" s="261" t="s">
        <v>663</v>
      </c>
      <c r="B89" s="510">
        <v>38.068345999999998</v>
      </c>
      <c r="C89" s="510">
        <v>-78.461247</v>
      </c>
      <c r="D89" s="510" t="s">
        <v>296</v>
      </c>
      <c r="E89" s="511">
        <v>238.04</v>
      </c>
      <c r="F89" s="669">
        <v>38775</v>
      </c>
      <c r="G89" s="510" t="s">
        <v>293</v>
      </c>
      <c r="H89" s="670"/>
      <c r="I89" s="511"/>
      <c r="J89" s="511"/>
      <c r="K89" s="511" t="s">
        <v>615</v>
      </c>
      <c r="L89" s="671"/>
      <c r="M89" s="671">
        <f>N89+O89+P89</f>
        <v>8.1401489655496437</v>
      </c>
      <c r="N89" s="672">
        <v>2.0015192251495999</v>
      </c>
      <c r="O89" s="514">
        <v>3.656039564850444</v>
      </c>
      <c r="P89" s="514">
        <v>2.4825901755495998</v>
      </c>
      <c r="Q89" s="673">
        <f>+N89/M89</f>
        <v>0.24588238294168024</v>
      </c>
      <c r="R89" s="674">
        <f>IF(L88="TT",(1.76*N89+0.5*O89+0.13*P89)-AF88,1.76*N89+0.5*O89+0.13*P89)</f>
        <v>5.6734303415099658</v>
      </c>
      <c r="S89" s="674">
        <f>IF(L88="TT",(M89*9.39+N89*6.99+O89*2.36)-AK88,M89*9.39+N89*6.99+O89*2.36)</f>
        <v>99.054871543353912</v>
      </c>
      <c r="T89" s="674">
        <f>IF(L88="TT",(M89*676.94+N89*101.08+O89*77.38)-AP88,M89*676.94+N89*101.08+O89*77.38)</f>
        <v>5995.6103455454249</v>
      </c>
      <c r="U89" s="1022" t="s">
        <v>295</v>
      </c>
      <c r="V89" s="514" t="s">
        <v>645</v>
      </c>
      <c r="W89" s="675">
        <f>IF(V89="NA", 0, (V89)*12/N89/43560)</f>
        <v>0</v>
      </c>
      <c r="X89" s="634" t="str">
        <f t="shared" si="22"/>
        <v>NA</v>
      </c>
      <c r="Y89" s="676">
        <f>IF(X89="NA",0,R89*X89)</f>
        <v>0</v>
      </c>
      <c r="Z89" s="635">
        <f>IF(ISNA(VLOOKUP(J89,'Efficiency Lookup'!$B$2:$C$38,2,FALSE)),0,(VLOOKUP(J89,'Efficiency Lookup'!$B$2:$C$38,2,FALSE)))</f>
        <v>0</v>
      </c>
      <c r="AA89" s="139">
        <f>R89*Z89</f>
        <v>0</v>
      </c>
      <c r="AB89" s="1061">
        <f>IF(ISNA(VLOOKUP(K89,'Efficiency Lookup'!$D$2:$E$35,2,FALSE)),0,VLOOKUP(K89,'Efficiency Lookup'!$D$2:$E$35,2,FALSE))</f>
        <v>0.1</v>
      </c>
      <c r="AC89" s="1005">
        <f>R89*AB89</f>
        <v>0.56734303415099663</v>
      </c>
      <c r="AD89" s="637">
        <f>IF(U89="RR",IF((0.0304*(W89^5)-0.2619*(W89^4)+0.9161*(W89^3)-1.6837*(W89^2)+1.7072*W89-0.0091)&gt;0.85,0.85,IF((0.0304*(W89^5)-0.2619*(W89^4)+0.9161*(W89^3)-1.6837*(W89^2)+1.7072*W89-0.0091)&lt;0,0,(0.0304*(W89^5)-0.2619*(W89^4)+0.9161*(W89^3)-1.6837*(W89^2)+1.7072*W89-0.0091))),IF((0.0239*(W89^5)-0.2058*(W89^4)+0.7198*(W89^3)-1.3229*(W89^2)+1.3414*W89-0.0072)&gt;0.65,0.65,IF((0.0239*(W89^5)-0.2058*(W89^4)+0.7198*(W89^3)-1.3229*(W89^2)+1.3414*W89-0.0072)&lt;0,0,(0.0239*(W89^5)-0.2058*(W89^4)+0.7198*(W89^3)-1.3229*(W89^2)+1.3414*W89-0.0072))))</f>
        <v>0</v>
      </c>
      <c r="AE89" s="139">
        <f>R89*AD89</f>
        <v>0</v>
      </c>
      <c r="AF89" s="516">
        <f>MAX(Y89,AA89,AC89,AE89)</f>
        <v>0.56734303415099663</v>
      </c>
      <c r="AG89" s="641">
        <f>IF(ISNA(VLOOKUP(K89,'Efficiency Lookup'!$D$2:$G$35,3,FALSE)),0,VLOOKUP(K89,'Efficiency Lookup'!$D$2:$G$35,3,FALSE))</f>
        <v>0.05</v>
      </c>
      <c r="AH89" s="1005">
        <f>S89*AG89</f>
        <v>4.9527435771676958</v>
      </c>
      <c r="AI89" s="637">
        <f>IF(U89="RR",IF((0.0308*(W89^5)-0.2562*(W89^4)+0.8634*(W89^3)-1.5285*(W89^2)+1.501*W89-0.013)&gt;0.7,0.7,IF((0.0308*(W89^5)-0.2562*(W89^4)+0.8634*(W89^3)-1.5285*(W89^2)+1.501*W89-0.013)&lt;0,0,(0.0308*(W89^5)-0.2562*(W89^4)+0.8634*(W89^3)-1.5285*(W89^2)+1.501*W89-0.013))),IF((0.0152*(W89^5)-0.131*(W89^4)+0.4581*(W89^3)-0.8418*(W89^2)+0.8536*W89-0.0046)&gt;0.65,0.65,IF((0.0152*(W89^5)-0.131*(W89^4)+0.4581*(W89^3)-0.8418*(W89^2)+0.8536*W89-0.0046)&lt;0,0,(0.0152*(W89^5)-0.131*(W89^4)+0.4581*(W89^3)-0.8418*(W89^2)+0.8536*W89-0.0046))))</f>
        <v>0</v>
      </c>
      <c r="AJ89" s="139">
        <f>S89*AI89</f>
        <v>0</v>
      </c>
      <c r="AK89" s="416">
        <f t="shared" si="23"/>
        <v>4.9527435771676958</v>
      </c>
      <c r="AL89" s="641">
        <f>IF(ISNA(VLOOKUP(K89,'Efficiency Lookup'!$D$2:$G$35,4,FALSE)),0,VLOOKUP(K89,'Efficiency Lookup'!$D$2:$G$35,4,FALSE))</f>
        <v>0.1</v>
      </c>
      <c r="AM89" s="1005">
        <f>T89*AL89</f>
        <v>599.56103455454252</v>
      </c>
      <c r="AN89" s="637">
        <f>IF(U89="RR",IF((0.0326*(W89^5)-0.2806*(W89^4)+0.9816*(W89^3)-1.8039*(W89^2)+1.8292*W89-0.0098)&gt;0.85,0.85,IF((0.0326*(W89^5)-0.2806*(W89^4)+0.9816*(W89^3)-1.8039*(W89^2)+1.8292*W89-0.0098)&lt;0,0,(0.0326*(W89^5)-0.2806*(W89^4)+0.9816*(W89^3)-1.8039*(W89^2)+1.8292*W89-0.0098))),IF((0.0304*(W89^5)-0.2619*(W89^4)+0.9161*(W89^3)-1.6837*(W89^2)+1.7072*W89-0.0091)&gt;0.8,0.8,IF((0.0304*(W89^5)-0.2619*(W89^4)+0.9161*(W89^3)-1.6837*(W89^2)+1.7072*W89-0.0091)&lt;0,0,(0.0304*(W89^5)-0.2619*(W89^4)+0.9161*(W89^3)-1.6837*(W89^2)+1.7072*W89-0.0091))))</f>
        <v>0</v>
      </c>
      <c r="AO89" s="139">
        <f>T89*AN89</f>
        <v>0</v>
      </c>
      <c r="AP89" s="647">
        <f>IF(AK89=AH89,AM89,AO89)</f>
        <v>599.56103455454252</v>
      </c>
      <c r="AQ89" s="789">
        <f>IF(AF89&lt;0,0,AF89)</f>
        <v>0.56734303415099663</v>
      </c>
      <c r="AR89" s="789">
        <f>IF(AK89&lt;0,0,AK89)</f>
        <v>4.9527435771676958</v>
      </c>
      <c r="AS89" s="790">
        <f>IF(AP89&lt;0,0,AP89)</f>
        <v>599.56103455454252</v>
      </c>
    </row>
    <row r="90" spans="1:45" x14ac:dyDescent="0.25">
      <c r="A90" s="261" t="s">
        <v>663</v>
      </c>
      <c r="B90" s="510">
        <v>38.070765000000002</v>
      </c>
      <c r="C90" s="510">
        <v>-78.454262999999997</v>
      </c>
      <c r="D90" s="510" t="s">
        <v>296</v>
      </c>
      <c r="E90" s="511">
        <v>238.05</v>
      </c>
      <c r="F90" s="669">
        <v>38775</v>
      </c>
      <c r="G90" s="510" t="s">
        <v>293</v>
      </c>
      <c r="H90" s="670"/>
      <c r="I90" s="511"/>
      <c r="J90" s="511"/>
      <c r="K90" s="511" t="s">
        <v>615</v>
      </c>
      <c r="L90" s="671"/>
      <c r="M90" s="671">
        <f>N90+O90+P90</f>
        <v>6.5010743166218976</v>
      </c>
      <c r="N90" s="672">
        <v>1.8137652109133271</v>
      </c>
      <c r="O90" s="514">
        <v>3.6134257953039302</v>
      </c>
      <c r="P90" s="514">
        <v>1.0738833104046399</v>
      </c>
      <c r="Q90" s="673">
        <f>+N90/M90</f>
        <v>0.27899468958167511</v>
      </c>
      <c r="R90" s="674">
        <f>IF(L89="TT",(1.76*N90+0.5*O90+0.13*P90)-AF89,1.76*N90+0.5*O90+0.13*P90)</f>
        <v>5.1385444992120242</v>
      </c>
      <c r="S90" s="674">
        <f>IF(L89="TT",(M90*9.39+N90*6.99+O90*2.36)-AK89,M90*9.39+N90*6.99+O90*2.36)</f>
        <v>82.250991534281056</v>
      </c>
      <c r="T90" s="674">
        <f>IF(L89="TT",(M90*676.94+N90*101.08+O90*77.38)-AP89,M90*676.94+N90*101.08+O90*77.38)</f>
        <v>4863.7795234537643</v>
      </c>
      <c r="U90" s="1022" t="s">
        <v>295</v>
      </c>
      <c r="V90" s="514" t="s">
        <v>645</v>
      </c>
      <c r="W90" s="675">
        <f>IF(V90="NA", 0, (V90)*12/N90/43560)</f>
        <v>0</v>
      </c>
      <c r="X90" s="634" t="str">
        <f t="shared" si="22"/>
        <v>NA</v>
      </c>
      <c r="Y90" s="676">
        <f>IF(X90="NA",0,R90*X90)</f>
        <v>0</v>
      </c>
      <c r="Z90" s="635">
        <f>IF(ISNA(VLOOKUP(J90,'Efficiency Lookup'!$B$2:$C$38,2,FALSE)),0,(VLOOKUP(J90,'Efficiency Lookup'!$B$2:$C$38,2,FALSE)))</f>
        <v>0</v>
      </c>
      <c r="AA90" s="139">
        <f>R90*Z90</f>
        <v>0</v>
      </c>
      <c r="AB90" s="1061">
        <f>IF(ISNA(VLOOKUP(K90,'Efficiency Lookup'!$D$2:$E$35,2,FALSE)),0,VLOOKUP(K90,'Efficiency Lookup'!$D$2:$E$35,2,FALSE))</f>
        <v>0.1</v>
      </c>
      <c r="AC90" s="1005">
        <f>R90*AB90</f>
        <v>0.51385444992120244</v>
      </c>
      <c r="AD90" s="637">
        <f>IF(U90="RR",IF((0.0304*(W90^5)-0.2619*(W90^4)+0.9161*(W90^3)-1.6837*(W90^2)+1.7072*W90-0.0091)&gt;0.85,0.85,IF((0.0304*(W90^5)-0.2619*(W90^4)+0.9161*(W90^3)-1.6837*(W90^2)+1.7072*W90-0.0091)&lt;0,0,(0.0304*(W90^5)-0.2619*(W90^4)+0.9161*(W90^3)-1.6837*(W90^2)+1.7072*W90-0.0091))),IF((0.0239*(W90^5)-0.2058*(W90^4)+0.7198*(W90^3)-1.3229*(W90^2)+1.3414*W90-0.0072)&gt;0.65,0.65,IF((0.0239*(W90^5)-0.2058*(W90^4)+0.7198*(W90^3)-1.3229*(W90^2)+1.3414*W90-0.0072)&lt;0,0,(0.0239*(W90^5)-0.2058*(W90^4)+0.7198*(W90^3)-1.3229*(W90^2)+1.3414*W90-0.0072))))</f>
        <v>0</v>
      </c>
      <c r="AE90" s="139">
        <f>R90*AD90</f>
        <v>0</v>
      </c>
      <c r="AF90" s="516">
        <f>MAX(Y90,AA90,AC90,AE90)</f>
        <v>0.51385444992120244</v>
      </c>
      <c r="AG90" s="641">
        <f>IF(ISNA(VLOOKUP(K90,'Efficiency Lookup'!$D$2:$G$35,3,FALSE)),0,VLOOKUP(K90,'Efficiency Lookup'!$D$2:$G$35,3,FALSE))</f>
        <v>0.05</v>
      </c>
      <c r="AH90" s="1005">
        <f>S90*AG90</f>
        <v>4.112549576714053</v>
      </c>
      <c r="AI90" s="637">
        <f>IF(U90="RR",IF((0.0308*(W90^5)-0.2562*(W90^4)+0.8634*(W90^3)-1.5285*(W90^2)+1.501*W90-0.013)&gt;0.7,0.7,IF((0.0308*(W90^5)-0.2562*(W90^4)+0.8634*(W90^3)-1.5285*(W90^2)+1.501*W90-0.013)&lt;0,0,(0.0308*(W90^5)-0.2562*(W90^4)+0.8634*(W90^3)-1.5285*(W90^2)+1.501*W90-0.013))),IF((0.0152*(W90^5)-0.131*(W90^4)+0.4581*(W90^3)-0.8418*(W90^2)+0.8536*W90-0.0046)&gt;0.65,0.65,IF((0.0152*(W90^5)-0.131*(W90^4)+0.4581*(W90^3)-0.8418*(W90^2)+0.8536*W90-0.0046)&lt;0,0,(0.0152*(W90^5)-0.131*(W90^4)+0.4581*(W90^3)-0.8418*(W90^2)+0.8536*W90-0.0046))))</f>
        <v>0</v>
      </c>
      <c r="AJ90" s="139">
        <f>S90*AI90</f>
        <v>0</v>
      </c>
      <c r="AK90" s="416">
        <f t="shared" si="23"/>
        <v>4.112549576714053</v>
      </c>
      <c r="AL90" s="641">
        <f>IF(ISNA(VLOOKUP(K90,'Efficiency Lookup'!$D$2:$G$35,4,FALSE)),0,VLOOKUP(K90,'Efficiency Lookup'!$D$2:$G$35,4,FALSE))</f>
        <v>0.1</v>
      </c>
      <c r="AM90" s="1005">
        <f>T90*AL90</f>
        <v>486.37795234537646</v>
      </c>
      <c r="AN90" s="637">
        <f>IF(U90="RR",IF((0.0326*(W90^5)-0.2806*(W90^4)+0.9816*(W90^3)-1.8039*(W90^2)+1.8292*W90-0.0098)&gt;0.85,0.85,IF((0.0326*(W90^5)-0.2806*(W90^4)+0.9816*(W90^3)-1.8039*(W90^2)+1.8292*W90-0.0098)&lt;0,0,(0.0326*(W90^5)-0.2806*(W90^4)+0.9816*(W90^3)-1.8039*(W90^2)+1.8292*W90-0.0098))),IF((0.0304*(W90^5)-0.2619*(W90^4)+0.9161*(W90^3)-1.6837*(W90^2)+1.7072*W90-0.0091)&gt;0.8,0.8,IF((0.0304*(W90^5)-0.2619*(W90^4)+0.9161*(W90^3)-1.6837*(W90^2)+1.7072*W90-0.0091)&lt;0,0,(0.0304*(W90^5)-0.2619*(W90^4)+0.9161*(W90^3)-1.6837*(W90^2)+1.7072*W90-0.0091))))</f>
        <v>0</v>
      </c>
      <c r="AO90" s="139">
        <f>T90*AN90</f>
        <v>0</v>
      </c>
      <c r="AP90" s="647">
        <f>IF(AK90=AH90,AM90,AO90)</f>
        <v>486.37795234537646</v>
      </c>
      <c r="AQ90" s="789">
        <f>IF(AF90&lt;0,0,AF90)</f>
        <v>0.51385444992120244</v>
      </c>
      <c r="AR90" s="789">
        <f>IF(AK90&lt;0,0,AK90)</f>
        <v>4.112549576714053</v>
      </c>
      <c r="AS90" s="790">
        <f>IF(AP90&lt;0,0,AP90)</f>
        <v>486.37795234537646</v>
      </c>
    </row>
    <row r="91" spans="1:45" x14ac:dyDescent="0.25">
      <c r="A91" s="261"/>
      <c r="B91" s="510" t="s">
        <v>297</v>
      </c>
      <c r="C91" s="510" t="s">
        <v>297</v>
      </c>
      <c r="D91" s="510" t="s">
        <v>297</v>
      </c>
      <c r="E91" s="511"/>
      <c r="F91" s="705"/>
      <c r="G91" s="510"/>
      <c r="H91" s="511"/>
      <c r="I91" s="261"/>
      <c r="J91" s="511"/>
      <c r="K91" s="511"/>
      <c r="L91" s="510"/>
      <c r="M91" s="510"/>
      <c r="N91" s="672"/>
      <c r="O91" s="514"/>
      <c r="P91" s="514" t="s">
        <v>297</v>
      </c>
      <c r="Q91" s="688"/>
      <c r="R91" s="674"/>
      <c r="S91" s="674"/>
      <c r="T91" s="674"/>
      <c r="U91" s="1022"/>
      <c r="V91" s="514"/>
      <c r="W91" s="675"/>
      <c r="X91" s="636" t="str">
        <f t="shared" si="22"/>
        <v/>
      </c>
      <c r="Y91" s="706"/>
      <c r="Z91" s="640"/>
      <c r="AA91" s="1022"/>
      <c r="AB91" s="637"/>
      <c r="AC91" s="637"/>
      <c r="AD91" s="637"/>
      <c r="AE91" s="139"/>
      <c r="AF91" s="642"/>
      <c r="AG91" s="583"/>
      <c r="AH91" s="139"/>
      <c r="AI91" s="637"/>
      <c r="AJ91" s="139"/>
      <c r="AK91" s="416" t="str">
        <f t="shared" si="23"/>
        <v/>
      </c>
      <c r="AL91" s="642"/>
      <c r="AM91" s="637"/>
      <c r="AN91" s="637"/>
      <c r="AO91" s="139"/>
      <c r="AP91" s="647"/>
      <c r="AQ91" s="789"/>
      <c r="AR91" s="789"/>
      <c r="AS91" s="790"/>
    </row>
    <row r="92" spans="1:45" x14ac:dyDescent="0.25">
      <c r="A92" s="628"/>
      <c r="B92" s="668" t="s">
        <v>297</v>
      </c>
      <c r="C92" s="668" t="s">
        <v>297</v>
      </c>
      <c r="D92" s="668" t="s">
        <v>297</v>
      </c>
      <c r="E92" s="710"/>
      <c r="F92" s="711"/>
      <c r="G92" s="668"/>
      <c r="H92" s="712"/>
      <c r="I92" s="712"/>
      <c r="J92" s="712"/>
      <c r="K92" s="712"/>
      <c r="L92" s="712"/>
      <c r="M92" s="712"/>
      <c r="N92" s="712"/>
      <c r="O92" s="712"/>
      <c r="P92" s="712"/>
      <c r="Q92" s="712"/>
      <c r="R92" s="712"/>
      <c r="S92" s="712"/>
      <c r="T92" s="712"/>
      <c r="U92" s="712"/>
      <c r="V92" s="712"/>
      <c r="W92" s="712"/>
      <c r="X92" s="760" t="str">
        <f t="shared" si="22"/>
        <v/>
      </c>
      <c r="Y92" s="713"/>
      <c r="Z92" s="712"/>
      <c r="AA92" s="712"/>
      <c r="AB92" s="638"/>
      <c r="AC92" s="638"/>
      <c r="AD92" s="638"/>
      <c r="AE92" s="629"/>
      <c r="AF92" s="666"/>
      <c r="AG92" s="666"/>
      <c r="AH92" s="629"/>
      <c r="AI92" s="638"/>
      <c r="AJ92" s="629"/>
      <c r="AK92" s="639" t="str">
        <f t="shared" si="23"/>
        <v/>
      </c>
      <c r="AL92" s="644"/>
      <c r="AM92" s="638"/>
      <c r="AN92" s="638"/>
      <c r="AO92" s="629"/>
      <c r="AP92" s="648"/>
      <c r="AQ92" s="791"/>
      <c r="AR92" s="791"/>
      <c r="AS92" s="792"/>
    </row>
    <row r="93" spans="1:45" ht="14.45" customHeight="1" x14ac:dyDescent="0.25">
      <c r="A93" s="261"/>
      <c r="B93" s="510" t="s">
        <v>297</v>
      </c>
      <c r="C93" s="510" t="s">
        <v>297</v>
      </c>
      <c r="D93" s="510" t="s">
        <v>297</v>
      </c>
      <c r="E93" s="704"/>
      <c r="F93" s="669"/>
      <c r="G93" s="510"/>
      <c r="H93" s="511"/>
      <c r="I93" s="261"/>
      <c r="J93" s="511"/>
      <c r="K93" s="511"/>
      <c r="L93" s="510"/>
      <c r="M93" s="510"/>
      <c r="N93" s="672"/>
      <c r="O93" s="514"/>
      <c r="P93" s="514" t="s">
        <v>297</v>
      </c>
      <c r="Q93" s="688"/>
      <c r="R93" s="674"/>
      <c r="S93" s="674"/>
      <c r="T93" s="674"/>
      <c r="U93" s="1022"/>
      <c r="V93" s="514"/>
      <c r="W93" s="675"/>
      <c r="X93" s="636" t="str">
        <f t="shared" si="22"/>
        <v/>
      </c>
      <c r="Y93" s="706"/>
      <c r="Z93" s="640"/>
      <c r="AA93" s="1022"/>
      <c r="AB93" s="637"/>
      <c r="AC93" s="637"/>
      <c r="AD93" s="637"/>
      <c r="AE93" s="139"/>
      <c r="AF93" s="642"/>
      <c r="AG93" s="583"/>
      <c r="AH93" s="139"/>
      <c r="AI93" s="637"/>
      <c r="AJ93" s="139"/>
      <c r="AK93" s="416" t="str">
        <f t="shared" si="23"/>
        <v/>
      </c>
      <c r="AL93" s="642"/>
      <c r="AM93" s="637"/>
      <c r="AN93" s="637"/>
      <c r="AO93" s="139"/>
      <c r="AP93" s="647"/>
      <c r="AQ93" s="789"/>
      <c r="AR93" s="789"/>
      <c r="AS93" s="790"/>
    </row>
    <row r="94" spans="1:45" ht="14.45" customHeight="1" x14ac:dyDescent="0.25">
      <c r="A94" s="261" t="s">
        <v>664</v>
      </c>
      <c r="B94" s="510">
        <v>38.104737999999998</v>
      </c>
      <c r="C94" s="510">
        <v>-78.430059999999997</v>
      </c>
      <c r="D94" s="510" t="s">
        <v>296</v>
      </c>
      <c r="E94" s="511">
        <v>145.01</v>
      </c>
      <c r="F94" s="669">
        <v>38867</v>
      </c>
      <c r="G94" s="510" t="s">
        <v>293</v>
      </c>
      <c r="H94" s="511"/>
      <c r="I94" s="511"/>
      <c r="J94" s="511" t="s">
        <v>358</v>
      </c>
      <c r="K94" s="511" t="s">
        <v>359</v>
      </c>
      <c r="L94" s="261"/>
      <c r="M94" s="514">
        <f>N94+O94+P94</f>
        <v>17.771120425935862</v>
      </c>
      <c r="N94" s="672">
        <v>4.3359429620838883</v>
      </c>
      <c r="O94" s="514">
        <v>9.7732487916987729</v>
      </c>
      <c r="P94" s="514">
        <v>3.6619286721532003</v>
      </c>
      <c r="Q94" s="673">
        <f>+N94/M94</f>
        <v>0.24398815933720447</v>
      </c>
      <c r="R94" s="674">
        <f>IF(L93="TT",(1.76*N94+0.5*O94+0.13*P94)-AF93,1.76*N94+0.5*O94+0.13*P94)</f>
        <v>12.993934736496945</v>
      </c>
      <c r="S94" s="674">
        <f>IF(L93="TT",(M94*9.39+N94*6.99+O94*2.36)-AK93,M94*9.39+N94*6.99+O94*2.36)</f>
        <v>220.24392925291323</v>
      </c>
      <c r="T94" s="674">
        <f>IF(L93="TT",(M94*676.94+N94*101.08+O94*77.38)-AP93,M94*676.94+N94*101.08+O94*77.38)</f>
        <v>13224.513367242114</v>
      </c>
      <c r="U94" s="1022" t="s">
        <v>295</v>
      </c>
      <c r="V94" s="514" t="s">
        <v>295</v>
      </c>
      <c r="W94" s="675">
        <f>IF(V94="NA", 0, (V94)*12/N94/43560)</f>
        <v>0</v>
      </c>
      <c r="X94" s="634" t="str">
        <f t="shared" si="22"/>
        <v>NA</v>
      </c>
      <c r="Y94" s="676">
        <f>IF(X94="NA",0,R94*X94)</f>
        <v>0</v>
      </c>
      <c r="Z94" s="640">
        <f>IF(ISNA(VLOOKUP(J94,'Efficiency Lookup'!$B$2:$C$38,2,FALSE)),0,(VLOOKUP(J94,'Efficiency Lookup'!$B$2:$C$38,2,FALSE)))</f>
        <v>0.35</v>
      </c>
      <c r="AA94" s="1022">
        <f>R94*Z94</f>
        <v>4.5478771577739305</v>
      </c>
      <c r="AB94" s="637">
        <f>IF(ISNA(VLOOKUP(K94,'Efficiency Lookup'!$D$2:$E$35,2,FALSE)),0,VLOOKUP(K94,'Efficiency Lookup'!$D$2:$E$35,2,FALSE))</f>
        <v>0.2</v>
      </c>
      <c r="AC94" s="139">
        <f>R94*AB94</f>
        <v>2.5987869472993892</v>
      </c>
      <c r="AD94" s="637">
        <f>IF(U94="RR",IF((0.0304*(W94^5)-0.2619*(W94^4)+0.9161*(W94^3)-1.6837*(W94^2)+1.7072*W94-0.0091)&gt;0.85,0.85,IF((0.0304*(W94^5)-0.2619*(W94^4)+0.9161*(W94^3)-1.6837*(W94^2)+1.7072*W94-0.0091)&lt;0,0,(0.0304*(W94^5)-0.2619*(W94^4)+0.9161*(W94^3)-1.6837*(W94^2)+1.7072*W94-0.0091))),IF((0.0239*(W94^5)-0.2058*(W94^4)+0.7198*(W94^3)-1.3229*(W94^2)+1.3414*W94-0.0072)&gt;0.65,0.65,IF((0.0239*(W94^5)-0.2058*(W94^4)+0.7198*(W94^3)-1.3229*(W94^2)+1.3414*W94-0.0072)&lt;0,0,(0.0239*(W94^5)-0.2058*(W94^4)+0.7198*(W94^3)-1.3229*(W94^2)+1.3414*W94-0.0072))))</f>
        <v>0</v>
      </c>
      <c r="AE94" s="139">
        <f>R94*AD94</f>
        <v>0</v>
      </c>
      <c r="AF94" s="516">
        <f>MAX(Y94,AA94,AC94,AE94)</f>
        <v>4.5478771577739305</v>
      </c>
      <c r="AG94" s="636">
        <f>IF(ISNA(VLOOKUP(K94,'Efficiency Lookup'!$D$2:$G$35,3,FALSE)),0,VLOOKUP(K94,'Efficiency Lookup'!$D$2:$G$35,3,FALSE))</f>
        <v>0.2</v>
      </c>
      <c r="AH94" s="1022">
        <f>S94*AG94</f>
        <v>44.048785850582647</v>
      </c>
      <c r="AI94" s="637">
        <f>IF(U94="RR",IF((0.0308*(W94^5)-0.2562*(W94^4)+0.8634*(W94^3)-1.5285*(W94^2)+1.501*W94-0.013)&gt;0.7,0.7,IF((0.0308*(W94^5)-0.2562*(W94^4)+0.8634*(W94^3)-1.5285*(W94^2)+1.501*W94-0.013)&lt;0,0,(0.0308*(W94^5)-0.2562*(W94^4)+0.8634*(W94^3)-1.5285*(W94^2)+1.501*W94-0.013))),IF((0.0152*(W94^5)-0.131*(W94^4)+0.4581*(W94^3)-0.8418*(W94^2)+0.8536*W94-0.0046)&gt;0.65,0.65,IF((0.0152*(W94^5)-0.131*(W94^4)+0.4581*(W94^3)-0.8418*(W94^2)+0.8536*W94-0.0046)&lt;0,0,(0.0152*(W94^5)-0.131*(W94^4)+0.4581*(W94^3)-0.8418*(W94^2)+0.8536*W94-0.0046))))</f>
        <v>0</v>
      </c>
      <c r="AJ94" s="139">
        <f>S94*AI94</f>
        <v>0</v>
      </c>
      <c r="AK94" s="416">
        <f t="shared" si="23"/>
        <v>44.048785850582647</v>
      </c>
      <c r="AL94" s="641">
        <f>IF(ISNA(VLOOKUP(K94,'Efficiency Lookup'!$D$2:$G$35,4,FALSE)),0,VLOOKUP(K94,'Efficiency Lookup'!$D$2:$G$35,4,FALSE))</f>
        <v>0.6</v>
      </c>
      <c r="AM94" s="1022">
        <f>T94*AL94</f>
        <v>7934.7080203452679</v>
      </c>
      <c r="AN94" s="637">
        <f>IF(U94="RR",IF((0.0326*(W94^5)-0.2806*(W94^4)+0.9816*(W94^3)-1.8039*(W94^2)+1.8292*W94-0.0098)&gt;0.85,0.85,IF((0.0326*(W94^5)-0.2806*(W94^4)+0.9816*(W94^3)-1.8039*(W94^2)+1.8292*W94-0.0098)&lt;0,0,(0.0326*(W94^5)-0.2806*(W94^4)+0.9816*(W94^3)-1.8039*(W94^2)+1.8292*W94-0.0098))),IF((0.0304*(W94^5)-0.2619*(W94^4)+0.9161*(W94^3)-1.6837*(W94^2)+1.7072*W94-0.0091)&gt;0.8,0.8,IF((0.0304*(W94^5)-0.2619*(W94^4)+0.9161*(W94^3)-1.6837*(W94^2)+1.7072*W94-0.0091)&lt;0,0,(0.0304*(W94^5)-0.2619*(W94^4)+0.9161*(W94^3)-1.6837*(W94^2)+1.7072*W94-0.0091))))</f>
        <v>0</v>
      </c>
      <c r="AO94" s="139">
        <f>T94*AN94</f>
        <v>0</v>
      </c>
      <c r="AP94" s="647">
        <f>IF(AK94=AH94,AM94,AO94)</f>
        <v>7934.7080203452679</v>
      </c>
      <c r="AQ94" s="789">
        <f>IF(AF94&lt;0,0,AF94)</f>
        <v>4.5478771577739305</v>
      </c>
      <c r="AR94" s="789">
        <f>IF(AK94&lt;0,0,AK94)</f>
        <v>44.048785850582647</v>
      </c>
      <c r="AS94" s="790">
        <f>IF(AP94&lt;0,0,AP94)</f>
        <v>7934.7080203452679</v>
      </c>
    </row>
    <row r="95" spans="1:45" x14ac:dyDescent="0.25">
      <c r="A95" s="261" t="s">
        <v>664</v>
      </c>
      <c r="B95" s="510">
        <v>38.111127000000003</v>
      </c>
      <c r="C95" s="510">
        <v>-78.448926999999998</v>
      </c>
      <c r="D95" s="510" t="s">
        <v>296</v>
      </c>
      <c r="E95" s="511">
        <v>145.02000000000001</v>
      </c>
      <c r="F95" s="669">
        <v>38870</v>
      </c>
      <c r="G95" s="510" t="s">
        <v>293</v>
      </c>
      <c r="H95" s="511"/>
      <c r="I95" s="511"/>
      <c r="J95" s="511"/>
      <c r="K95" s="511" t="s">
        <v>665</v>
      </c>
      <c r="L95" s="261"/>
      <c r="M95" s="514">
        <f>N95+O95+P95</f>
        <v>2.1910674686569998</v>
      </c>
      <c r="N95" s="672">
        <v>0.59771496200600005</v>
      </c>
      <c r="O95" s="514">
        <v>1.0385832079899999</v>
      </c>
      <c r="P95" s="514">
        <v>0.554769298661</v>
      </c>
      <c r="Q95" s="673">
        <f>+N95/M95</f>
        <v>0.27279623770433936</v>
      </c>
      <c r="R95" s="674">
        <f>IF(L94="TT",(1.76*N95+0.5*O95+0.13*P95)-AF94,1.76*N95+0.5*O95+0.13*P95)</f>
        <v>1.64338994595149</v>
      </c>
      <c r="S95" s="674">
        <f>IF(L94="TT",(M95*9.39+N95*6.99+O95*2.36)-AK94,M95*9.39+N95*6.99+O95*2.36)</f>
        <v>27.203207485967567</v>
      </c>
      <c r="T95" s="674">
        <f>IF(L94="TT",(M95*676.94+N95*101.08+O95*77.38)-AP94,M95*676.94+N95*101.08+O95*77.38)</f>
        <v>1624.0038092265022</v>
      </c>
      <c r="U95" s="1022" t="s">
        <v>278</v>
      </c>
      <c r="V95" s="514" t="s">
        <v>295</v>
      </c>
      <c r="W95" s="675">
        <f>IF(V95="NA", 0, (V95)*12/N95/43560)</f>
        <v>0</v>
      </c>
      <c r="X95" s="634" t="str">
        <f t="shared" si="22"/>
        <v>NA</v>
      </c>
      <c r="Y95" s="676">
        <f>IF(X95="NA",0,R95*X95)</f>
        <v>0</v>
      </c>
      <c r="Z95" s="635">
        <f>IF(ISNA(VLOOKUP(J95,'Efficiency Lookup'!$B$2:$C$38,2,FALSE)),0,(VLOOKUP(J95,'Efficiency Lookup'!$B$2:$C$38,2,FALSE)))</f>
        <v>0</v>
      </c>
      <c r="AA95" s="139">
        <f>R95*Z95</f>
        <v>0</v>
      </c>
      <c r="AB95" s="521">
        <f>IF(ISNA(VLOOKUP(K95,'Efficiency Lookup'!$D$2:$E$35,2,FALSE)),0,VLOOKUP(K95,'Efficiency Lookup'!$D$2:$E$35,2,FALSE))</f>
        <v>0.1</v>
      </c>
      <c r="AC95" s="1005">
        <f>R95*AB95</f>
        <v>0.164338994595149</v>
      </c>
      <c r="AD95" s="637">
        <f>IF(U95="RR",IF((0.0304*(W95^5)-0.2619*(W95^4)+0.9161*(W95^3)-1.6837*(W95^2)+1.7072*W95-0.0091)&gt;0.85,0.85,IF((0.0304*(W95^5)-0.2619*(W95^4)+0.9161*(W95^3)-1.6837*(W95^2)+1.7072*W95-0.0091)&lt;0,0,(0.0304*(W95^5)-0.2619*(W95^4)+0.9161*(W95^3)-1.6837*(W95^2)+1.7072*W95-0.0091))),IF((0.0239*(W95^5)-0.2058*(W95^4)+0.7198*(W95^3)-1.3229*(W95^2)+1.3414*W95-0.0072)&gt;0.65,0.65,IF((0.0239*(W95^5)-0.2058*(W95^4)+0.7198*(W95^3)-1.3229*(W95^2)+1.3414*W95-0.0072)&lt;0,0,(0.0239*(W95^5)-0.2058*(W95^4)+0.7198*(W95^3)-1.3229*(W95^2)+1.3414*W95-0.0072))))</f>
        <v>0</v>
      </c>
      <c r="AE95" s="139">
        <f>R95*AD95</f>
        <v>0</v>
      </c>
      <c r="AF95" s="516">
        <f>MAX(Y95,AA95,AC95,AE95)</f>
        <v>0.164338994595149</v>
      </c>
      <c r="AG95" s="636">
        <f>IF(ISNA(VLOOKUP(K95,'Efficiency Lookup'!$D$2:$G$35,3,FALSE)),0,VLOOKUP(K95,'Efficiency Lookup'!$D$2:$G$35,3,FALSE))</f>
        <v>0.05</v>
      </c>
      <c r="AH95" s="1022">
        <f>S95*AG95</f>
        <v>1.3601603742983785</v>
      </c>
      <c r="AI95" s="637">
        <f>IF(U95="RR",IF((0.0308*(W95^5)-0.2562*(W95^4)+0.8634*(W95^3)-1.5285*(W95^2)+1.501*W95-0.013)&gt;0.7,0.7,IF((0.0308*(W95^5)-0.2562*(W95^4)+0.8634*(W95^3)-1.5285*(W95^2)+1.501*W95-0.013)&lt;0,0,(0.0308*(W95^5)-0.2562*(W95^4)+0.8634*(W95^3)-1.5285*(W95^2)+1.501*W95-0.013))),IF((0.0152*(W95^5)-0.131*(W95^4)+0.4581*(W95^3)-0.8418*(W95^2)+0.8536*W95-0.0046)&gt;0.65,0.65,IF((0.0152*(W95^5)-0.131*(W95^4)+0.4581*(W95^3)-0.8418*(W95^2)+0.8536*W95-0.0046)&lt;0,0,(0.0152*(W95^5)-0.131*(W95^4)+0.4581*(W95^3)-0.8418*(W95^2)+0.8536*W95-0.0046))))</f>
        <v>0</v>
      </c>
      <c r="AJ95" s="139">
        <f>S95*AI95</f>
        <v>0</v>
      </c>
      <c r="AK95" s="416">
        <f t="shared" si="23"/>
        <v>1.3601603742983785</v>
      </c>
      <c r="AL95" s="641">
        <f>IF(ISNA(VLOOKUP(K95,'Efficiency Lookup'!$D$2:$G$35,4,FALSE)),0,VLOOKUP(K95,'Efficiency Lookup'!$D$2:$G$35,4,FALSE))</f>
        <v>0.1</v>
      </c>
      <c r="AM95" s="1022">
        <f>T95*AL95</f>
        <v>162.40038092265024</v>
      </c>
      <c r="AN95" s="637">
        <f>IF(U95="RR",IF((0.0326*(W95^5)-0.2806*(W95^4)+0.9816*(W95^3)-1.8039*(W95^2)+1.8292*W95-0.0098)&gt;0.85,0.85,IF((0.0326*(W95^5)-0.2806*(W95^4)+0.9816*(W95^3)-1.8039*(W95^2)+1.8292*W95-0.0098)&lt;0,0,(0.0326*(W95^5)-0.2806*(W95^4)+0.9816*(W95^3)-1.8039*(W95^2)+1.8292*W95-0.0098))),IF((0.0304*(W95^5)-0.2619*(W95^4)+0.9161*(W95^3)-1.6837*(W95^2)+1.7072*W95-0.0091)&gt;0.8,0.8,IF((0.0304*(W95^5)-0.2619*(W95^4)+0.9161*(W95^3)-1.6837*(W95^2)+1.7072*W95-0.0091)&lt;0,0,(0.0304*(W95^5)-0.2619*(W95^4)+0.9161*(W95^3)-1.6837*(W95^2)+1.7072*W95-0.0091))))</f>
        <v>0</v>
      </c>
      <c r="AO95" s="139">
        <f>T95*AN95</f>
        <v>0</v>
      </c>
      <c r="AP95" s="647">
        <f>IF(AK95=AH95,AM95,AO95)</f>
        <v>162.40038092265024</v>
      </c>
      <c r="AQ95" s="789">
        <f>IF(AF95&lt;0,0,AF95)</f>
        <v>0.164338994595149</v>
      </c>
      <c r="AR95" s="789">
        <f>IF(AK95&lt;0,0,AK95)</f>
        <v>1.3601603742983785</v>
      </c>
      <c r="AS95" s="790">
        <f>IF(AP95&lt;0,0,AP95)</f>
        <v>162.40038092265024</v>
      </c>
    </row>
    <row r="96" spans="1:45" ht="30" x14ac:dyDescent="0.25">
      <c r="A96" s="261" t="s">
        <v>664</v>
      </c>
      <c r="B96" s="510">
        <v>38.103098000000003</v>
      </c>
      <c r="C96" s="510">
        <v>-78.431734000000006</v>
      </c>
      <c r="D96" s="510" t="s">
        <v>296</v>
      </c>
      <c r="E96" s="511">
        <v>145.04</v>
      </c>
      <c r="F96" s="669">
        <v>38867</v>
      </c>
      <c r="G96" s="510" t="s">
        <v>274</v>
      </c>
      <c r="H96" s="511"/>
      <c r="I96" s="511"/>
      <c r="J96" s="511" t="s">
        <v>530</v>
      </c>
      <c r="K96" s="511" t="s">
        <v>277</v>
      </c>
      <c r="L96" s="261"/>
      <c r="M96" s="514">
        <f>N96+O96+P96</f>
        <v>13.261447136729</v>
      </c>
      <c r="N96" s="672">
        <v>3.9657561271900001</v>
      </c>
      <c r="O96" s="514">
        <v>7.0856418266099999</v>
      </c>
      <c r="P96" s="514">
        <v>2.2100491829290001</v>
      </c>
      <c r="Q96" s="673">
        <f>+N96/M96</f>
        <v>0.29904399469394355</v>
      </c>
      <c r="R96" s="674">
        <f>IF(L95="TT",(1.76*N96+0.5*O96+0.13*P96)-AF95,1.76*N96+0.5*O96+0.13*P96)</f>
        <v>10.809858090940171</v>
      </c>
      <c r="S96" s="674">
        <f>IF(L95="TT",(M96*9.39+N96*6.99+O96*2.36)-AK95,M96*9.39+N96*6.99+O96*2.36)</f>
        <v>168.967738653743</v>
      </c>
      <c r="T96" s="674">
        <f>IF(L95="TT",(M96*676.94+N96*101.08+O96*77.38)-AP95,M96*676.94+N96*101.08+O96*77.38)</f>
        <v>9926.3496186167777</v>
      </c>
      <c r="U96" s="1022" t="s">
        <v>278</v>
      </c>
      <c r="V96" s="514">
        <v>5129</v>
      </c>
      <c r="W96" s="675">
        <f>IF(V96="NA", 0, (V96)*12/N96/43560)</f>
        <v>0.35628707693717176</v>
      </c>
      <c r="X96" s="634" t="str">
        <f t="shared" si="22"/>
        <v>NA</v>
      </c>
      <c r="Y96" s="676">
        <f>IF(X96="NA",0,R96*X96)</f>
        <v>0</v>
      </c>
      <c r="Z96" s="635">
        <f>IF(ISNA(VLOOKUP(J96,'Efficiency Lookup'!$B$2:$C$38,2,FALSE)),0,(VLOOKUP(J96,'Efficiency Lookup'!$B$2:$C$38,2,FALSE)))</f>
        <v>0.4</v>
      </c>
      <c r="AA96" s="139">
        <f>R96*Z96</f>
        <v>4.3239432363760688</v>
      </c>
      <c r="AB96" s="640">
        <f>IF(ISNA(VLOOKUP(K96,'Efficiency Lookup'!$D$2:$E$35,2,FALSE)),0,VLOOKUP(K96,'Efficiency Lookup'!$D$2:$E$35,2,FALSE))</f>
        <v>0.45</v>
      </c>
      <c r="AC96" s="1022">
        <f>R96*AB96</f>
        <v>4.8644361409230772</v>
      </c>
      <c r="AD96" s="637">
        <f>IF(U96="RR",IF((0.0304*(W96^5)-0.2619*(W96^4)+0.9161*(W96^3)-1.6837*(W96^2)+1.7072*W96-0.0091)&gt;0.85,0.85,IF((0.0304*(W96^5)-0.2619*(W96^4)+0.9161*(W96^3)-1.6837*(W96^2)+1.7072*W96-0.0091)&lt;0,0,(0.0304*(W96^5)-0.2619*(W96^4)+0.9161*(W96^3)-1.6837*(W96^2)+1.7072*W96-0.0091))),IF((0.0239*(W96^5)-0.2058*(W96^4)+0.7198*(W96^3)-1.3229*(W96^2)+1.3414*W96-0.0072)&gt;0.65,0.65,IF((0.0239*(W96^5)-0.2058*(W96^4)+0.7198*(W96^3)-1.3229*(W96^2)+1.3414*W96-0.0072)&lt;0,0,(0.0239*(W96^5)-0.2058*(W96^4)+0.7198*(W96^3)-1.3229*(W96^2)+1.3414*W96-0.0072))))</f>
        <v>0.33216947539030994</v>
      </c>
      <c r="AE96" s="139">
        <f>R96*AD96</f>
        <v>3.5907048911112942</v>
      </c>
      <c r="AF96" s="516">
        <f>MAX(Y96,AA96,AC96,AE96)</f>
        <v>4.8644361409230772</v>
      </c>
      <c r="AG96" s="636">
        <f>IF(ISNA(VLOOKUP(K96,'Efficiency Lookup'!$D$2:$G$35,3,FALSE)),0,VLOOKUP(K96,'Efficiency Lookup'!$D$2:$G$35,3,FALSE))</f>
        <v>0.2</v>
      </c>
      <c r="AH96" s="1022">
        <f>S96*AG96</f>
        <v>33.7935477307486</v>
      </c>
      <c r="AI96" s="637">
        <f>IF(U96="RR",IF((0.0308*(W96^5)-0.2562*(W96^4)+0.8634*(W96^3)-1.5285*(W96^2)+1.501*W96-0.013)&gt;0.7,0.7,IF((0.0308*(W96^5)-0.2562*(W96^4)+0.8634*(W96^3)-1.5285*(W96^2)+1.501*W96-0.013)&lt;0,0,(0.0308*(W96^5)-0.2562*(W96^4)+0.8634*(W96^3)-1.5285*(W96^2)+1.501*W96-0.013))),IF((0.0152*(W96^5)-0.131*(W96^4)+0.4581*(W96^3)-0.8418*(W96^2)+0.8536*W96-0.0046)&gt;0.65,0.65,IF((0.0152*(W96^5)-0.131*(W96^4)+0.4581*(W96^3)-0.8418*(W96^2)+0.8536*W96-0.0046)&lt;0,0,(0.0152*(W96^5)-0.131*(W96^4)+0.4581*(W96^3)-0.8418*(W96^2)+0.8536*W96-0.0046))))</f>
        <v>0.21136310313751283</v>
      </c>
      <c r="AJ96" s="139">
        <f>S96*AI96</f>
        <v>35.713545571983396</v>
      </c>
      <c r="AK96" s="416">
        <f t="shared" si="23"/>
        <v>33.7935477307486</v>
      </c>
      <c r="AL96" s="641">
        <f>IF(ISNA(VLOOKUP(K96,'Efficiency Lookup'!$D$2:$G$35,4,FALSE)),0,VLOOKUP(K96,'Efficiency Lookup'!$D$2:$G$35,4,FALSE))</f>
        <v>0.6</v>
      </c>
      <c r="AM96" s="1022">
        <f>T96*AL96</f>
        <v>5955.8097711700666</v>
      </c>
      <c r="AN96" s="637">
        <f>IF(U96="RR",IF((0.0326*(W96^5)-0.2806*(W96^4)+0.9816*(W96^3)-1.8039*(W96^2)+1.8292*W96-0.0098)&gt;0.85,0.85,IF((0.0326*(W96^5)-0.2806*(W96^4)+0.9816*(W96^3)-1.8039*(W96^2)+1.8292*W96-0.0098)&lt;0,0,(0.0326*(W96^5)-0.2806*(W96^4)+0.9816*(W96^3)-1.8039*(W96^2)+1.8292*W96-0.0098))),IF((0.0304*(W96^5)-0.2619*(W96^4)+0.9161*(W96^3)-1.6837*(W96^2)+1.7072*W96-0.0091)&gt;0.8,0.8,IF((0.0304*(W96^5)-0.2619*(W96^4)+0.9161*(W96^3)-1.6837*(W96^2)+1.7072*W96-0.0091)&lt;0,0,(0.0304*(W96^5)-0.2619*(W96^4)+0.9161*(W96^3)-1.6837*(W96^2)+1.7072*W96-0.0091))))</f>
        <v>0.42281060089018407</v>
      </c>
      <c r="AO96" s="139">
        <f>T96*AN96</f>
        <v>4196.9658468934094</v>
      </c>
      <c r="AP96" s="647">
        <f>IF(AK96=AH96,AM96,AO96)</f>
        <v>5955.8097711700666</v>
      </c>
      <c r="AQ96" s="789">
        <f>IF(AF96&lt;0,0,AF96)</f>
        <v>4.8644361409230772</v>
      </c>
      <c r="AR96" s="789">
        <f>IF(AK96&lt;0,0,AK96)</f>
        <v>33.7935477307486</v>
      </c>
      <c r="AS96" s="790">
        <f>IF(AP96&lt;0,0,AP96)</f>
        <v>5955.8097711700666</v>
      </c>
    </row>
    <row r="97" spans="1:45" x14ac:dyDescent="0.25">
      <c r="A97" s="261" t="s">
        <v>664</v>
      </c>
      <c r="B97" s="510">
        <v>38.105392999999999</v>
      </c>
      <c r="C97" s="510">
        <v>-78.434887000000003</v>
      </c>
      <c r="D97" s="510" t="s">
        <v>286</v>
      </c>
      <c r="E97" s="511">
        <v>145.05000000000001</v>
      </c>
      <c r="F97" s="669">
        <v>38867</v>
      </c>
      <c r="G97" s="510" t="s">
        <v>293</v>
      </c>
      <c r="H97" s="511"/>
      <c r="I97" s="511"/>
      <c r="J97" s="511"/>
      <c r="K97" s="511" t="s">
        <v>665</v>
      </c>
      <c r="L97" s="261"/>
      <c r="M97" s="514">
        <f>N97+O97+P97</f>
        <v>5.3518933424492374</v>
      </c>
      <c r="N97" s="672">
        <v>0.354879164502653</v>
      </c>
      <c r="O97" s="514">
        <v>1.2808675437081949</v>
      </c>
      <c r="P97" s="514">
        <v>3.71614663423839</v>
      </c>
      <c r="Q97" s="673">
        <f>+N97/M97</f>
        <v>6.6309087606040804E-2</v>
      </c>
      <c r="R97" s="674">
        <f>IF(L96="TT",(1.76*N97+0.5*O97+0.13*P97)-AF96,1.76*N97+0.5*O97+0.13*P97)</f>
        <v>1.7481201638297574</v>
      </c>
      <c r="S97" s="674">
        <f>IF(L96="TT",(M97*9.39+N97*6.99+O97*2.36)-AK96,M97*9.39+N97*6.99+O97*2.36)</f>
        <v>55.757731248623223</v>
      </c>
      <c r="T97" s="674">
        <f>IF(L96="TT",(M97*676.94+N97*101.08+O97*77.38)-AP96,M97*676.94+N97*101.08+O97*77.38)</f>
        <v>3757.895395717655</v>
      </c>
      <c r="U97" s="1022" t="s">
        <v>295</v>
      </c>
      <c r="V97" s="514" t="s">
        <v>295</v>
      </c>
      <c r="W97" s="675">
        <f>IF(V97="NA", 0, (V97)*12/N97/43560)</f>
        <v>0</v>
      </c>
      <c r="X97" s="634" t="str">
        <f t="shared" si="22"/>
        <v>NA</v>
      </c>
      <c r="Y97" s="676">
        <f>IF(X97="NA",0,R97*X97)</f>
        <v>0</v>
      </c>
      <c r="Z97" s="665">
        <f>IF(ISNA(VLOOKUP(J97,'Efficiency Lookup'!$B$2:$C$38,2,FALSE)),0,(VLOOKUP(J97,'Efficiency Lookup'!$B$2:$C$38,2,FALSE)))</f>
        <v>0</v>
      </c>
      <c r="AA97" s="139">
        <f>R97*Z97</f>
        <v>0</v>
      </c>
      <c r="AB97" s="1061">
        <f>IF(ISNA(VLOOKUP(K97,'Efficiency Lookup'!$D$2:$E$35,2,FALSE)),0,VLOOKUP(K97,'Efficiency Lookup'!$D$2:$E$35,2,FALSE))</f>
        <v>0.1</v>
      </c>
      <c r="AC97" s="1022">
        <f>R97*AB97</f>
        <v>0.17481201638297575</v>
      </c>
      <c r="AD97" s="637">
        <f>IF(U97="RR",IF((0.0304*(W97^5)-0.2619*(W97^4)+0.9161*(W97^3)-1.6837*(W97^2)+1.7072*W97-0.0091)&gt;0.85,0.85,IF((0.0304*(W97^5)-0.2619*(W97^4)+0.9161*(W97^3)-1.6837*(W97^2)+1.7072*W97-0.0091)&lt;0,0,(0.0304*(W97^5)-0.2619*(W97^4)+0.9161*(W97^3)-1.6837*(W97^2)+1.7072*W97-0.0091))),IF((0.0239*(W97^5)-0.2058*(W97^4)+0.7198*(W97^3)-1.3229*(W97^2)+1.3414*W97-0.0072)&gt;0.65,0.65,IF((0.0239*(W97^5)-0.2058*(W97^4)+0.7198*(W97^3)-1.3229*(W97^2)+1.3414*W97-0.0072)&lt;0,0,(0.0239*(W97^5)-0.2058*(W97^4)+0.7198*(W97^3)-1.3229*(W97^2)+1.3414*W97-0.0072))))</f>
        <v>0</v>
      </c>
      <c r="AE97" s="139">
        <f>R97*AD97</f>
        <v>0</v>
      </c>
      <c r="AF97" s="516">
        <f>MAX(Y97,AA97,AC97,AE97)</f>
        <v>0.17481201638297575</v>
      </c>
      <c r="AG97" s="636">
        <f>IF(ISNA(VLOOKUP(K97,'Efficiency Lookup'!$D$2:$G$35,3,FALSE)),0,VLOOKUP(K97,'Efficiency Lookup'!$D$2:$G$35,3,FALSE))</f>
        <v>0.05</v>
      </c>
      <c r="AH97" s="1022">
        <f>S97*AG97</f>
        <v>2.7878865624311615</v>
      </c>
      <c r="AI97" s="637">
        <f>IF(U97="RR",IF((0.0308*(W97^5)-0.2562*(W97^4)+0.8634*(W97^3)-1.5285*(W97^2)+1.501*W97-0.013)&gt;0.7,0.7,IF((0.0308*(W97^5)-0.2562*(W97^4)+0.8634*(W97^3)-1.5285*(W97^2)+1.501*W97-0.013)&lt;0,0,(0.0308*(W97^5)-0.2562*(W97^4)+0.8634*(W97^3)-1.5285*(W97^2)+1.501*W97-0.013))),IF((0.0152*(W97^5)-0.131*(W97^4)+0.4581*(W97^3)-0.8418*(W97^2)+0.8536*W97-0.0046)&gt;0.65,0.65,IF((0.0152*(W97^5)-0.131*(W97^4)+0.4581*(W97^3)-0.8418*(W97^2)+0.8536*W97-0.0046)&lt;0,0,(0.0152*(W97^5)-0.131*(W97^4)+0.4581*(W97^3)-0.8418*(W97^2)+0.8536*W97-0.0046))))</f>
        <v>0</v>
      </c>
      <c r="AJ97" s="139">
        <f>S97*AI97</f>
        <v>0</v>
      </c>
      <c r="AK97" s="416">
        <f t="shared" si="23"/>
        <v>2.7878865624311615</v>
      </c>
      <c r="AL97" s="641">
        <f>IF(ISNA(VLOOKUP(K97,'Efficiency Lookup'!$D$2:$G$35,4,FALSE)),0,VLOOKUP(K97,'Efficiency Lookup'!$D$2:$G$35,4,FALSE))</f>
        <v>0.1</v>
      </c>
      <c r="AM97" s="1022">
        <f>T97*AL97</f>
        <v>375.78953957176554</v>
      </c>
      <c r="AN97" s="637">
        <f>IF(U97="RR",IF((0.0326*(W97^5)-0.2806*(W97^4)+0.9816*(W97^3)-1.8039*(W97^2)+1.8292*W97-0.0098)&gt;0.85,0.85,IF((0.0326*(W97^5)-0.2806*(W97^4)+0.9816*(W97^3)-1.8039*(W97^2)+1.8292*W97-0.0098)&lt;0,0,(0.0326*(W97^5)-0.2806*(W97^4)+0.9816*(W97^3)-1.8039*(W97^2)+1.8292*W97-0.0098))),IF((0.0304*(W97^5)-0.2619*(W97^4)+0.9161*(W97^3)-1.6837*(W97^2)+1.7072*W97-0.0091)&gt;0.8,0.8,IF((0.0304*(W97^5)-0.2619*(W97^4)+0.9161*(W97^3)-1.6837*(W97^2)+1.7072*W97-0.0091)&lt;0,0,(0.0304*(W97^5)-0.2619*(W97^4)+0.9161*(W97^3)-1.6837*(W97^2)+1.7072*W97-0.0091))))</f>
        <v>0</v>
      </c>
      <c r="AO97" s="139">
        <f>T97*AN97</f>
        <v>0</v>
      </c>
      <c r="AP97" s="647">
        <f>IF(AK97=AH97,AM97,AO97)</f>
        <v>375.78953957176554</v>
      </c>
      <c r="AQ97" s="789">
        <f>IF(AF97&lt;0,0,AF97)</f>
        <v>0.17481201638297575</v>
      </c>
      <c r="AR97" s="789">
        <f>IF(AK97&lt;0,0,AK97)</f>
        <v>2.7878865624311615</v>
      </c>
      <c r="AS97" s="790">
        <f>IF(AP97&lt;0,0,AP97)</f>
        <v>375.78953957176554</v>
      </c>
    </row>
    <row r="98" spans="1:45" ht="14.45" customHeight="1" x14ac:dyDescent="0.25">
      <c r="A98" s="261" t="s">
        <v>664</v>
      </c>
      <c r="B98" s="510">
        <v>38.106797</v>
      </c>
      <c r="C98" s="510">
        <v>-78.433778000000004</v>
      </c>
      <c r="D98" s="510" t="s">
        <v>296</v>
      </c>
      <c r="E98" s="511">
        <v>145.06</v>
      </c>
      <c r="F98" s="669">
        <v>38867</v>
      </c>
      <c r="G98" s="510" t="s">
        <v>293</v>
      </c>
      <c r="H98" s="511"/>
      <c r="I98" s="511"/>
      <c r="J98" s="511"/>
      <c r="K98" s="511" t="s">
        <v>665</v>
      </c>
      <c r="L98" s="261"/>
      <c r="M98" s="514">
        <f>N98+O98+P98</f>
        <v>10.480934203752899</v>
      </c>
      <c r="N98" s="672">
        <v>2.2342129581325407</v>
      </c>
      <c r="O98" s="514">
        <v>4.9357876117661981</v>
      </c>
      <c r="P98" s="514">
        <v>3.3109336338541597</v>
      </c>
      <c r="Q98" s="673">
        <f>+N98/M98</f>
        <v>0.2131692571195169</v>
      </c>
      <c r="R98" s="674">
        <f>IF(L97="TT",(1.76*N98+0.5*O98+0.13*P98)-AF97,1.76*N98+0.5*O98+0.13*P98)</f>
        <v>6.8305299845974119</v>
      </c>
      <c r="S98" s="674">
        <f>IF(L97="TT",(M98*9.39+N98*6.99+O98*2.36)-AK97,M98*9.39+N98*6.99+O98*2.36)</f>
        <v>125.68157951435441</v>
      </c>
      <c r="T98" s="674">
        <f>IF(L97="TT",(M98*676.94+N98*101.08+O98*77.38)-AP97,M98*676.94+N98*101.08+O98*77.38)</f>
        <v>7702.7290910949932</v>
      </c>
      <c r="U98" s="1022" t="s">
        <v>295</v>
      </c>
      <c r="V98" s="514" t="s">
        <v>295</v>
      </c>
      <c r="W98" s="675">
        <f>IF(V98="NA", 0, (V98)*12/N98/43560)</f>
        <v>0</v>
      </c>
      <c r="X98" s="634" t="str">
        <f t="shared" si="22"/>
        <v>NA</v>
      </c>
      <c r="Y98" s="676">
        <f>IF(X98="NA",0,R98*X98)</f>
        <v>0</v>
      </c>
      <c r="Z98" s="665">
        <f>IF(ISNA(VLOOKUP(J98,'Efficiency Lookup'!$B$2:$C$38,2,FALSE)),0,(VLOOKUP(J98,'Efficiency Lookup'!$B$2:$C$38,2,FALSE)))</f>
        <v>0</v>
      </c>
      <c r="AA98" s="139">
        <f>R98*Z98</f>
        <v>0</v>
      </c>
      <c r="AB98" s="1061">
        <f>IF(ISNA(VLOOKUP(K98,'Efficiency Lookup'!$D$2:$E$35,2,FALSE)),0,VLOOKUP(K98,'Efficiency Lookup'!$D$2:$E$35,2,FALSE))</f>
        <v>0.1</v>
      </c>
      <c r="AC98" s="1022">
        <f>R98*AB98</f>
        <v>0.68305299845974121</v>
      </c>
      <c r="AD98" s="637">
        <f>IF(U98="RR",IF((0.0304*(W98^5)-0.2619*(W98^4)+0.9161*(W98^3)-1.6837*(W98^2)+1.7072*W98-0.0091)&gt;0.85,0.85,IF((0.0304*(W98^5)-0.2619*(W98^4)+0.9161*(W98^3)-1.6837*(W98^2)+1.7072*W98-0.0091)&lt;0,0,(0.0304*(W98^5)-0.2619*(W98^4)+0.9161*(W98^3)-1.6837*(W98^2)+1.7072*W98-0.0091))),IF((0.0239*(W98^5)-0.2058*(W98^4)+0.7198*(W98^3)-1.3229*(W98^2)+1.3414*W98-0.0072)&gt;0.65,0.65,IF((0.0239*(W98^5)-0.2058*(W98^4)+0.7198*(W98^3)-1.3229*(W98^2)+1.3414*W98-0.0072)&lt;0,0,(0.0239*(W98^5)-0.2058*(W98^4)+0.7198*(W98^3)-1.3229*(W98^2)+1.3414*W98-0.0072))))</f>
        <v>0</v>
      </c>
      <c r="AE98" s="139">
        <f>R98*AD98</f>
        <v>0</v>
      </c>
      <c r="AF98" s="516">
        <f>MAX(Y98,AA98,AC98,AE98)</f>
        <v>0.68305299845974121</v>
      </c>
      <c r="AG98" s="636">
        <f>IF(ISNA(VLOOKUP(K98,'Efficiency Lookup'!$D$2:$G$35,3,FALSE)),0,VLOOKUP(K98,'Efficiency Lookup'!$D$2:$G$35,3,FALSE))</f>
        <v>0.05</v>
      </c>
      <c r="AH98" s="1022">
        <f>S98*AG98</f>
        <v>6.2840789757177209</v>
      </c>
      <c r="AI98" s="637">
        <f>IF(U98="RR",IF((0.0308*(W98^5)-0.2562*(W98^4)+0.8634*(W98^3)-1.5285*(W98^2)+1.501*W98-0.013)&gt;0.7,0.7,IF((0.0308*(W98^5)-0.2562*(W98^4)+0.8634*(W98^3)-1.5285*(W98^2)+1.501*W98-0.013)&lt;0,0,(0.0308*(W98^5)-0.2562*(W98^4)+0.8634*(W98^3)-1.5285*(W98^2)+1.501*W98-0.013))),IF((0.0152*(W98^5)-0.131*(W98^4)+0.4581*(W98^3)-0.8418*(W98^2)+0.8536*W98-0.0046)&gt;0.65,0.65,IF((0.0152*(W98^5)-0.131*(W98^4)+0.4581*(W98^3)-0.8418*(W98^2)+0.8536*W98-0.0046)&lt;0,0,(0.0152*(W98^5)-0.131*(W98^4)+0.4581*(W98^3)-0.8418*(W98^2)+0.8536*W98-0.0046))))</f>
        <v>0</v>
      </c>
      <c r="AJ98" s="139">
        <f>S98*AI98</f>
        <v>0</v>
      </c>
      <c r="AK98" s="416">
        <f t="shared" si="23"/>
        <v>6.2840789757177209</v>
      </c>
      <c r="AL98" s="641">
        <f>IF(ISNA(VLOOKUP(K98,'Efficiency Lookup'!$D$2:$G$35,4,FALSE)),0,VLOOKUP(K98,'Efficiency Lookup'!$D$2:$G$35,4,FALSE))</f>
        <v>0.1</v>
      </c>
      <c r="AM98" s="1022">
        <f>T98*AL98</f>
        <v>770.27290910949932</v>
      </c>
      <c r="AN98" s="637">
        <f>IF(U98="RR",IF((0.0326*(W98^5)-0.2806*(W98^4)+0.9816*(W98^3)-1.8039*(W98^2)+1.8292*W98-0.0098)&gt;0.85,0.85,IF((0.0326*(W98^5)-0.2806*(W98^4)+0.9816*(W98^3)-1.8039*(W98^2)+1.8292*W98-0.0098)&lt;0,0,(0.0326*(W98^5)-0.2806*(W98^4)+0.9816*(W98^3)-1.8039*(W98^2)+1.8292*W98-0.0098))),IF((0.0304*(W98^5)-0.2619*(W98^4)+0.9161*(W98^3)-1.6837*(W98^2)+1.7072*W98-0.0091)&gt;0.8,0.8,IF((0.0304*(W98^5)-0.2619*(W98^4)+0.9161*(W98^3)-1.6837*(W98^2)+1.7072*W98-0.0091)&lt;0,0,(0.0304*(W98^5)-0.2619*(W98^4)+0.9161*(W98^3)-1.6837*(W98^2)+1.7072*W98-0.0091))))</f>
        <v>0</v>
      </c>
      <c r="AO98" s="139">
        <f>T98*AN98</f>
        <v>0</v>
      </c>
      <c r="AP98" s="647">
        <f>IF(AK98=AH98,AM98,AO98)</f>
        <v>770.27290910949932</v>
      </c>
      <c r="AQ98" s="789">
        <f>IF(AF98&lt;0,0,AF98)</f>
        <v>0.68305299845974121</v>
      </c>
      <c r="AR98" s="789">
        <f>IF(AK98&lt;0,0,AK98)</f>
        <v>6.2840789757177209</v>
      </c>
      <c r="AS98" s="790">
        <f>IF(AP98&lt;0,0,AP98)</f>
        <v>770.27290910949932</v>
      </c>
    </row>
    <row r="99" spans="1:45" x14ac:dyDescent="0.25">
      <c r="A99" s="261"/>
      <c r="B99" s="510" t="s">
        <v>297</v>
      </c>
      <c r="C99" s="510" t="s">
        <v>297</v>
      </c>
      <c r="D99" s="510" t="s">
        <v>297</v>
      </c>
      <c r="E99" s="511"/>
      <c r="F99" s="705"/>
      <c r="G99" s="510"/>
      <c r="H99" s="511"/>
      <c r="I99" s="261"/>
      <c r="J99" s="511"/>
      <c r="K99" s="511"/>
      <c r="L99" s="510"/>
      <c r="M99" s="510"/>
      <c r="N99" s="672"/>
      <c r="O99" s="514"/>
      <c r="P99" s="514" t="s">
        <v>297</v>
      </c>
      <c r="Q99" s="688"/>
      <c r="R99" s="674"/>
      <c r="S99" s="674"/>
      <c r="T99" s="674"/>
      <c r="U99" s="1022"/>
      <c r="V99" s="514"/>
      <c r="W99" s="675"/>
      <c r="X99" s="636" t="str">
        <f t="shared" si="22"/>
        <v/>
      </c>
      <c r="Y99" s="706"/>
      <c r="Z99" s="640"/>
      <c r="AA99" s="1022"/>
      <c r="AB99" s="637"/>
      <c r="AC99" s="637"/>
      <c r="AD99" s="637"/>
      <c r="AE99" s="139"/>
      <c r="AF99" s="642"/>
      <c r="AG99" s="583"/>
      <c r="AH99" s="139"/>
      <c r="AI99" s="637"/>
      <c r="AJ99" s="139"/>
      <c r="AK99" s="416" t="str">
        <f t="shared" si="23"/>
        <v/>
      </c>
      <c r="AL99" s="642"/>
      <c r="AM99" s="637"/>
      <c r="AN99" s="637"/>
      <c r="AO99" s="139"/>
      <c r="AP99" s="647"/>
      <c r="AQ99" s="789"/>
      <c r="AR99" s="789"/>
      <c r="AS99" s="790"/>
    </row>
    <row r="100" spans="1:45" x14ac:dyDescent="0.25">
      <c r="A100" s="628"/>
      <c r="B100" s="668" t="s">
        <v>297</v>
      </c>
      <c r="C100" s="668" t="s">
        <v>297</v>
      </c>
      <c r="D100" s="668" t="s">
        <v>297</v>
      </c>
      <c r="E100" s="710"/>
      <c r="F100" s="711"/>
      <c r="G100" s="668"/>
      <c r="H100" s="712"/>
      <c r="I100" s="712"/>
      <c r="J100" s="712"/>
      <c r="K100" s="712"/>
      <c r="L100" s="712"/>
      <c r="M100" s="712"/>
      <c r="N100" s="712"/>
      <c r="O100" s="712"/>
      <c r="P100" s="712"/>
      <c r="Q100" s="712"/>
      <c r="R100" s="712"/>
      <c r="S100" s="712"/>
      <c r="T100" s="712"/>
      <c r="U100" s="712"/>
      <c r="V100" s="712"/>
      <c r="W100" s="712"/>
      <c r="X100" s="760" t="str">
        <f t="shared" si="22"/>
        <v/>
      </c>
      <c r="Y100" s="713"/>
      <c r="Z100" s="712"/>
      <c r="AA100" s="712"/>
      <c r="AB100" s="638"/>
      <c r="AC100" s="638"/>
      <c r="AD100" s="638"/>
      <c r="AE100" s="629"/>
      <c r="AF100" s="666"/>
      <c r="AG100" s="666"/>
      <c r="AH100" s="629"/>
      <c r="AI100" s="638"/>
      <c r="AJ100" s="629"/>
      <c r="AK100" s="639" t="str">
        <f t="shared" si="23"/>
        <v/>
      </c>
      <c r="AL100" s="644"/>
      <c r="AM100" s="638"/>
      <c r="AN100" s="638"/>
      <c r="AO100" s="629"/>
      <c r="AP100" s="648"/>
      <c r="AQ100" s="791"/>
      <c r="AR100" s="791"/>
      <c r="AS100" s="792"/>
    </row>
    <row r="101" spans="1:45" ht="14.45" customHeight="1" x14ac:dyDescent="0.25">
      <c r="A101" s="261"/>
      <c r="B101" s="510" t="s">
        <v>297</v>
      </c>
      <c r="C101" s="510" t="s">
        <v>297</v>
      </c>
      <c r="D101" s="510" t="s">
        <v>297</v>
      </c>
      <c r="E101" s="704"/>
      <c r="F101" s="705"/>
      <c r="G101" s="510"/>
      <c r="H101" s="511"/>
      <c r="I101" s="261"/>
      <c r="J101" s="511"/>
      <c r="K101" s="511"/>
      <c r="L101" s="510"/>
      <c r="M101" s="510"/>
      <c r="N101" s="672"/>
      <c r="O101" s="514"/>
      <c r="P101" s="514" t="s">
        <v>297</v>
      </c>
      <c r="Q101" s="688"/>
      <c r="R101" s="674"/>
      <c r="S101" s="674"/>
      <c r="T101" s="674"/>
      <c r="U101" s="1022"/>
      <c r="V101" s="514"/>
      <c r="W101" s="675"/>
      <c r="X101" s="636" t="str">
        <f t="shared" si="22"/>
        <v/>
      </c>
      <c r="Y101" s="706"/>
      <c r="Z101" s="640"/>
      <c r="AA101" s="1022"/>
      <c r="AB101" s="637"/>
      <c r="AC101" s="637"/>
      <c r="AD101" s="637"/>
      <c r="AE101" s="139"/>
      <c r="AF101" s="642"/>
      <c r="AG101" s="583"/>
      <c r="AH101" s="139"/>
      <c r="AI101" s="637"/>
      <c r="AJ101" s="139"/>
      <c r="AK101" s="416" t="str">
        <f t="shared" si="23"/>
        <v/>
      </c>
      <c r="AL101" s="642"/>
      <c r="AM101" s="637"/>
      <c r="AN101" s="637"/>
      <c r="AO101" s="139"/>
      <c r="AP101" s="647"/>
      <c r="AQ101" s="789"/>
      <c r="AR101" s="789"/>
      <c r="AS101" s="790"/>
    </row>
    <row r="102" spans="1:45" ht="30" x14ac:dyDescent="0.25">
      <c r="A102" s="261" t="s">
        <v>666</v>
      </c>
      <c r="B102" s="510">
        <v>38.076217</v>
      </c>
      <c r="C102" s="510">
        <v>-78.468973000000005</v>
      </c>
      <c r="D102" s="510" t="s">
        <v>296</v>
      </c>
      <c r="E102" s="511">
        <v>301.01</v>
      </c>
      <c r="F102" s="669">
        <v>40010</v>
      </c>
      <c r="G102" s="510" t="s">
        <v>281</v>
      </c>
      <c r="H102" s="670"/>
      <c r="I102" s="511"/>
      <c r="J102" s="511" t="s">
        <v>343</v>
      </c>
      <c r="K102" s="511" t="s">
        <v>315</v>
      </c>
      <c r="L102" s="261"/>
      <c r="M102" s="671">
        <f>N102+O102+P102</f>
        <v>0.44873821696299998</v>
      </c>
      <c r="N102" s="672">
        <v>0.16220542342499999</v>
      </c>
      <c r="O102" s="514">
        <v>0.28653279353799999</v>
      </c>
      <c r="P102" s="514">
        <v>0</v>
      </c>
      <c r="Q102" s="673">
        <f>+N102/M102</f>
        <v>0.36147004488002943</v>
      </c>
      <c r="R102" s="674">
        <f>IF(L101="TT",(1.76*N102+0.5*O102+0.13*P102)-AF304,1.76*N102+0.5*O102+0.13*P102)</f>
        <v>0.428747941997</v>
      </c>
      <c r="S102" s="674">
        <f>IF(L101="TT",(M102*9.39+N102*6.99+O102*2.36)-AK304,M102*9.39+N102*6.99+O102*2.36)</f>
        <v>6.0236851597729997</v>
      </c>
      <c r="T102" s="674">
        <f>IF(L101="TT",(M102*676.94+N102*101.08+O102*77.38)-AP304,M102*676.94+N102*101.08+O102*77.38)</f>
        <v>342.33648035470264</v>
      </c>
      <c r="U102" s="1022" t="s">
        <v>285</v>
      </c>
      <c r="V102" s="514" t="s">
        <v>295</v>
      </c>
      <c r="W102" s="675">
        <f>IF(V102="NA", 0, (V102)*12/N102/43560)</f>
        <v>0</v>
      </c>
      <c r="X102" s="634" t="str">
        <f t="shared" si="22"/>
        <v>NA</v>
      </c>
      <c r="Y102" s="676">
        <f>IF(X102="NA",0,R102*X102)</f>
        <v>0</v>
      </c>
      <c r="Z102" s="635">
        <f>IF(ISNA(VLOOKUP(J102,'Efficiency Lookup'!$B$2:$C$38,2,FALSE)),0,(VLOOKUP(J102,'Efficiency Lookup'!$B$2:$C$38,2,FALSE)))</f>
        <v>0.5</v>
      </c>
      <c r="AA102" s="139">
        <f>R102*Z102</f>
        <v>0.2143739709985</v>
      </c>
      <c r="AB102" s="640">
        <f>IF(ISNA(VLOOKUP(K102,'Efficiency Lookup'!$D$2:$E$35,2,FALSE)),0,VLOOKUP(K102,'Efficiency Lookup'!$D$2:$E$35,2,FALSE))</f>
        <v>0.75</v>
      </c>
      <c r="AC102" s="1022">
        <f>R102*AB102</f>
        <v>0.32156095649775002</v>
      </c>
      <c r="AD102" s="637">
        <f>IF(U102="RR",IF((0.0304*(W102^5)-0.2619*(W102^4)+0.9161*(W102^3)-1.6837*(W102^2)+1.7072*W102-0.0091)&gt;0.85,0.85,IF((0.0304*(W102^5)-0.2619*(W102^4)+0.9161*(W102^3)-1.6837*(W102^2)+1.7072*W102-0.0091)&lt;0,0,(0.0304*(W102^5)-0.2619*(W102^4)+0.9161*(W102^3)-1.6837*(W102^2)+1.7072*W102-0.0091))),IF((0.0239*(W102^5)-0.2058*(W102^4)+0.7198*(W102^3)-1.3229*(W102^2)+1.3414*W102-0.0072)&gt;0.65,0.65,IF((0.0239*(W102^5)-0.2058*(W102^4)+0.7198*(W102^3)-1.3229*(W102^2)+1.3414*W102-0.0072)&lt;0,0,(0.0239*(W102^5)-0.2058*(W102^4)+0.7198*(W102^3)-1.3229*(W102^2)+1.3414*W102-0.0072))))</f>
        <v>0</v>
      </c>
      <c r="AE102" s="139">
        <f>R102*AD102</f>
        <v>0</v>
      </c>
      <c r="AF102" s="516">
        <f>MAX(Y102,AA102,AC102,AE102)</f>
        <v>0.32156095649775002</v>
      </c>
      <c r="AG102" s="636">
        <f>IF(ISNA(VLOOKUP(K102,'Efficiency Lookup'!$D$2:$G$35,3,FALSE)),0,VLOOKUP(K102,'Efficiency Lookup'!$D$2:$G$35,3,FALSE))</f>
        <v>0.7</v>
      </c>
      <c r="AH102" s="1022">
        <f>S102*AG102</f>
        <v>4.2165796118410999</v>
      </c>
      <c r="AI102" s="637">
        <f>IF(U102="RR",IF((0.0308*(W102^5)-0.2562*(W102^4)+0.8634*(W102^3)-1.5285*(W102^2)+1.501*W102-0.013)&gt;0.7,0.7,IF((0.0308*(W102^5)-0.2562*(W102^4)+0.8634*(W102^3)-1.5285*(W102^2)+1.501*W102-0.013)&lt;0,0,(0.0308*(W102^5)-0.2562*(W102^4)+0.8634*(W102^3)-1.5285*(W102^2)+1.501*W102-0.013))),IF((0.0152*(W102^5)-0.131*(W102^4)+0.4581*(W102^3)-0.8418*(W102^2)+0.8536*W102-0.0046)&gt;0.65,0.65,IF((0.0152*(W102^5)-0.131*(W102^4)+0.4581*(W102^3)-0.8418*(W102^2)+0.8536*W102-0.0046)&lt;0,0,(0.0152*(W102^5)-0.131*(W102^4)+0.4581*(W102^3)-0.8418*(W102^2)+0.8536*W102-0.0046))))</f>
        <v>0</v>
      </c>
      <c r="AJ102" s="139">
        <f>S102*AI102</f>
        <v>0</v>
      </c>
      <c r="AK102" s="416">
        <f t="shared" si="23"/>
        <v>4.2165796118410999</v>
      </c>
      <c r="AL102" s="641">
        <f>IF(ISNA(VLOOKUP(K102,'Efficiency Lookup'!$D$2:$G$35,4,FALSE)),0,VLOOKUP(K102,'Efficiency Lookup'!$D$2:$G$35,4,FALSE))</f>
        <v>0.8</v>
      </c>
      <c r="AM102" s="1022">
        <f>T102*AL102</f>
        <v>273.86918428376214</v>
      </c>
      <c r="AN102" s="637">
        <f>IF(U102="RR",IF((0.0326*(W102^5)-0.2806*(W102^4)+0.9816*(W102^3)-1.8039*(W102^2)+1.8292*W102-0.0098)&gt;0.85,0.85,IF((0.0326*(W102^5)-0.2806*(W102^4)+0.9816*(W102^3)-1.8039*(W102^2)+1.8292*W102-0.0098)&lt;0,0,(0.0326*(W102^5)-0.2806*(W102^4)+0.9816*(W102^3)-1.8039*(W102^2)+1.8292*W102-0.0098))),IF((0.0304*(W102^5)-0.2619*(W102^4)+0.9161*(W102^3)-1.6837*(W102^2)+1.7072*W102-0.0091)&gt;0.8,0.8,IF((0.0304*(W102^5)-0.2619*(W102^4)+0.9161*(W102^3)-1.6837*(W102^2)+1.7072*W102-0.0091)&lt;0,0,(0.0304*(W102^5)-0.2619*(W102^4)+0.9161*(W102^3)-1.6837*(W102^2)+1.7072*W102-0.0091))))</f>
        <v>0</v>
      </c>
      <c r="AO102" s="139">
        <f>T102*AN102</f>
        <v>0</v>
      </c>
      <c r="AP102" s="647">
        <f>IF(AK102=AH102,AM102,AO102)</f>
        <v>273.86918428376214</v>
      </c>
      <c r="AQ102" s="789">
        <f>IF(AF102&lt;0,0,AF102)</f>
        <v>0.32156095649775002</v>
      </c>
      <c r="AR102" s="789">
        <f>IF(AK102&lt;0,0,AK102)</f>
        <v>4.2165796118410999</v>
      </c>
      <c r="AS102" s="790">
        <f>IF(AP102&lt;0,0,AP102)</f>
        <v>273.86918428376214</v>
      </c>
    </row>
    <row r="103" spans="1:45" ht="30" x14ac:dyDescent="0.25">
      <c r="A103" s="261" t="s">
        <v>666</v>
      </c>
      <c r="B103" s="510">
        <v>38.076600999999997</v>
      </c>
      <c r="C103" s="510">
        <v>-78.469323500000002</v>
      </c>
      <c r="D103" s="510" t="s">
        <v>296</v>
      </c>
      <c r="E103" s="714" t="s">
        <v>667</v>
      </c>
      <c r="F103" s="669"/>
      <c r="G103" s="510" t="s">
        <v>281</v>
      </c>
      <c r="H103" s="511" t="s">
        <v>668</v>
      </c>
      <c r="I103" s="511"/>
      <c r="J103" s="511" t="s">
        <v>343</v>
      </c>
      <c r="K103" s="511" t="s">
        <v>315</v>
      </c>
      <c r="L103" s="261" t="s">
        <v>292</v>
      </c>
      <c r="M103" s="671">
        <f>N103+O103+P103</f>
        <v>1.3382142127023502</v>
      </c>
      <c r="N103" s="672">
        <v>0.6149861709240001</v>
      </c>
      <c r="O103" s="514">
        <v>0.72322804177834998</v>
      </c>
      <c r="P103" s="514">
        <v>0</v>
      </c>
      <c r="Q103" s="673">
        <f>+N103/M103</f>
        <v>0.45955734521912994</v>
      </c>
      <c r="R103" s="674">
        <f>IF(L102="TT",(1.76*N103+0.5*O103+0.13*P103)-#REF!,1.76*N103+0.5*O103+0.13*P103)</f>
        <v>1.4439896817154152</v>
      </c>
      <c r="S103" s="674">
        <f>IF(L102="TT",(M103*9.39+N103*6.99+O103*2.36)-#REF!,M103*9.39+N103*6.99+O103*2.36)</f>
        <v>18.571402970630736</v>
      </c>
      <c r="T103" s="674">
        <f>IF(L102="TT",(M103*676.94+N103*101.08+O103*77.38)-#REF!,M103*676.94+N103*101.08+O103*77.38)</f>
        <v>1024.0169171765356</v>
      </c>
      <c r="U103" s="1022" t="s">
        <v>285</v>
      </c>
      <c r="V103" s="514" t="s">
        <v>295</v>
      </c>
      <c r="W103" s="675">
        <f>IF(V103="NA", 0, (V103)*12/N103/43560)</f>
        <v>0</v>
      </c>
      <c r="X103" s="634" t="str">
        <f t="shared" si="22"/>
        <v>NA</v>
      </c>
      <c r="Y103" s="676">
        <f>IF(X103="NA",0,R103*X103)</f>
        <v>0</v>
      </c>
      <c r="Z103" s="635">
        <f>IF(ISNA(VLOOKUP(J103,'Efficiency Lookup'!$B$2:$C$38,2,FALSE)),0,(VLOOKUP(J103,'Efficiency Lookup'!$B$2:$C$38,2,FALSE)))</f>
        <v>0.5</v>
      </c>
      <c r="AA103" s="139">
        <f>R103*Z103</f>
        <v>0.7219948408577076</v>
      </c>
      <c r="AB103" s="640">
        <f>IF(ISNA(VLOOKUP(K103,'Efficiency Lookup'!$D$2:$E$35,2,FALSE)),0,VLOOKUP(K103,'Efficiency Lookup'!$D$2:$E$35,2,FALSE))</f>
        <v>0.75</v>
      </c>
      <c r="AC103" s="1022">
        <f>R103*AB103</f>
        <v>1.0829922612865615</v>
      </c>
      <c r="AD103" s="637">
        <f>IF(U103="RR",IF((0.0304*(W103^5)-0.2619*(W103^4)+0.9161*(W103^3)-1.6837*(W103^2)+1.7072*W103-0.0091)&gt;0.85,0.85,IF((0.0304*(W103^5)-0.2619*(W103^4)+0.9161*(W103^3)-1.6837*(W103^2)+1.7072*W103-0.0091)&lt;0,0,(0.0304*(W103^5)-0.2619*(W103^4)+0.9161*(W103^3)-1.6837*(W103^2)+1.7072*W103-0.0091))),IF((0.0239*(W103^5)-0.2058*(W103^4)+0.7198*(W103^3)-1.3229*(W103^2)+1.3414*W103-0.0072)&gt;0.65,0.65,IF((0.0239*(W103^5)-0.2058*(W103^4)+0.7198*(W103^3)-1.3229*(W103^2)+1.3414*W103-0.0072)&lt;0,0,(0.0239*(W103^5)-0.2058*(W103^4)+0.7198*(W103^3)-1.3229*(W103^2)+1.3414*W103-0.0072))))</f>
        <v>0</v>
      </c>
      <c r="AE103" s="139">
        <f>R103*AD103</f>
        <v>0</v>
      </c>
      <c r="AF103" s="516">
        <f>MAX(Y103,AA103,AC103,AE103)</f>
        <v>1.0829922612865615</v>
      </c>
      <c r="AG103" s="636">
        <f>IF(ISNA(VLOOKUP(K103,'Efficiency Lookup'!$D$2:$G$35,3,FALSE)),0,VLOOKUP(K103,'Efficiency Lookup'!$D$2:$G$35,3,FALSE))</f>
        <v>0.7</v>
      </c>
      <c r="AH103" s="1022">
        <f>S103*AG103</f>
        <v>12.999982079441514</v>
      </c>
      <c r="AI103" s="637">
        <f>IF(U103="RR",IF((0.0308*(W103^5)-0.2562*(W103^4)+0.8634*(W103^3)-1.5285*(W103^2)+1.501*W103-0.013)&gt;0.7,0.7,IF((0.0308*(W103^5)-0.2562*(W103^4)+0.8634*(W103^3)-1.5285*(W103^2)+1.501*W103-0.013)&lt;0,0,(0.0308*(W103^5)-0.2562*(W103^4)+0.8634*(W103^3)-1.5285*(W103^2)+1.501*W103-0.013))),IF((0.0152*(W103^5)-0.131*(W103^4)+0.4581*(W103^3)-0.8418*(W103^2)+0.8536*W103-0.0046)&gt;0.65,0.65,IF((0.0152*(W103^5)-0.131*(W103^4)+0.4581*(W103^3)-0.8418*(W103^2)+0.8536*W103-0.0046)&lt;0,0,(0.0152*(W103^5)-0.131*(W103^4)+0.4581*(W103^3)-0.8418*(W103^2)+0.8536*W103-0.0046))))</f>
        <v>0</v>
      </c>
      <c r="AJ103" s="139">
        <f>S103*AI103</f>
        <v>0</v>
      </c>
      <c r="AK103" s="416">
        <f t="shared" si="23"/>
        <v>12.999982079441514</v>
      </c>
      <c r="AL103" s="641">
        <f>IF(ISNA(VLOOKUP(K103,'Efficiency Lookup'!$D$2:$G$35,4,FALSE)),0,VLOOKUP(K103,'Efficiency Lookup'!$D$2:$G$35,4,FALSE))</f>
        <v>0.8</v>
      </c>
      <c r="AM103" s="1022">
        <f>T103*AL103</f>
        <v>819.2135337412285</v>
      </c>
      <c r="AN103" s="637">
        <f>IF(U103="RR",IF((0.0326*(W103^5)-0.2806*(W103^4)+0.9816*(W103^3)-1.8039*(W103^2)+1.8292*W103-0.0098)&gt;0.85,0.85,IF((0.0326*(W103^5)-0.2806*(W103^4)+0.9816*(W103^3)-1.8039*(W103^2)+1.8292*W103-0.0098)&lt;0,0,(0.0326*(W103^5)-0.2806*(W103^4)+0.9816*(W103^3)-1.8039*(W103^2)+1.8292*W103-0.0098))),IF((0.0304*(W103^5)-0.2619*(W103^4)+0.9161*(W103^3)-1.6837*(W103^2)+1.7072*W103-0.0091)&gt;0.8,0.8,IF((0.0304*(W103^5)-0.2619*(W103^4)+0.9161*(W103^3)-1.6837*(W103^2)+1.7072*W103-0.0091)&lt;0,0,(0.0304*(W103^5)-0.2619*(W103^4)+0.9161*(W103^3)-1.6837*(W103^2)+1.7072*W103-0.0091))))</f>
        <v>0</v>
      </c>
      <c r="AO103" s="139">
        <f>T103*AN103</f>
        <v>0</v>
      </c>
      <c r="AP103" s="647">
        <f>IF(AK103=AH103,AM103,AO103)</f>
        <v>819.2135337412285</v>
      </c>
      <c r="AQ103" s="789">
        <f>IF(AF103&lt;0,0,AF103)</f>
        <v>1.0829922612865615</v>
      </c>
      <c r="AR103" s="789">
        <f>IF(AK103&lt;0,0,AK103)</f>
        <v>12.999982079441514</v>
      </c>
      <c r="AS103" s="790">
        <f>IF(AP103&lt;0,0,AP103)</f>
        <v>819.2135337412285</v>
      </c>
    </row>
    <row r="104" spans="1:45" ht="45" x14ac:dyDescent="0.25">
      <c r="A104" s="261" t="s">
        <v>666</v>
      </c>
      <c r="B104" s="510">
        <v>38.075611000000002</v>
      </c>
      <c r="C104" s="510">
        <v>-78.473200000000006</v>
      </c>
      <c r="D104" s="510" t="s">
        <v>296</v>
      </c>
      <c r="E104" s="511">
        <v>301.04000000000002</v>
      </c>
      <c r="F104" s="669">
        <v>40010</v>
      </c>
      <c r="G104" s="510" t="s">
        <v>281</v>
      </c>
      <c r="H104" s="511" t="s">
        <v>669</v>
      </c>
      <c r="I104" s="511"/>
      <c r="J104" s="511" t="s">
        <v>343</v>
      </c>
      <c r="K104" s="511" t="s">
        <v>315</v>
      </c>
      <c r="L104" s="261"/>
      <c r="M104" s="671">
        <f>N104+O104+P104</f>
        <v>17.644098563715772</v>
      </c>
      <c r="N104" s="672">
        <v>8.9265353116707935</v>
      </c>
      <c r="O104" s="514">
        <v>8.1224560974259763</v>
      </c>
      <c r="P104" s="514">
        <v>0.59510715461899999</v>
      </c>
      <c r="Q104" s="673">
        <f>+N104/M104</f>
        <v>0.50592186840464481</v>
      </c>
      <c r="R104" s="674">
        <f>IF(L103="TT",(1.76*N104+0.5*O104+0.13*P104)-SUM(AF101:AF103))</f>
        <v>18.444740909569745</v>
      </c>
      <c r="S104" s="674">
        <f>IF(L103="TT",(M104*9.39+N104*6.99+O104*2.36)-SUM(AK101:AK103))</f>
        <v>230.02700204051266</v>
      </c>
      <c r="T104" s="674">
        <f>IF(L103="TT",(M104*676.94+N104*101.08+O104*77.38)-SUM(AP101:AP103))</f>
        <v>12381.723205819271</v>
      </c>
      <c r="U104" s="1022" t="s">
        <v>285</v>
      </c>
      <c r="V104" s="514">
        <v>19078</v>
      </c>
      <c r="W104" s="675">
        <f>IF(V104="NA", 0, (V104)*12/N104/43560)</f>
        <v>0.58876677226031193</v>
      </c>
      <c r="X104" s="634" t="str">
        <f t="shared" si="22"/>
        <v>NA</v>
      </c>
      <c r="Y104" s="676">
        <f>IF(X104="NA",0,R104*X104)</f>
        <v>0</v>
      </c>
      <c r="Z104" s="635">
        <f>IF(ISNA(VLOOKUP(J104,'Efficiency Lookup'!$B$2:$C$38,2,FALSE)),0,(VLOOKUP(J104,'Efficiency Lookup'!$B$2:$C$38,2,FALSE)))</f>
        <v>0.5</v>
      </c>
      <c r="AA104" s="139">
        <f>R104*Z104</f>
        <v>9.2223704547848726</v>
      </c>
      <c r="AB104" s="640">
        <f>IF(ISNA(VLOOKUP(K104,'Efficiency Lookup'!$D$2:$E$35,2,FALSE)),0,VLOOKUP(K104,'Efficiency Lookup'!$D$2:$E$35,2,FALSE))</f>
        <v>0.75</v>
      </c>
      <c r="AC104" s="1022">
        <f>R104*AB104</f>
        <v>13.833555682177309</v>
      </c>
      <c r="AD104" s="637">
        <f>IF(U104="RR",IF((0.0304*(W104^5)-0.2619*(W104^4)+0.9161*(W104^3)-1.6837*(W104^2)+1.7072*W104-0.0091)&gt;0.85,0.85,IF((0.0304*(W104^5)-0.2619*(W104^4)+0.9161*(W104^3)-1.6837*(W104^2)+1.7072*W104-0.0091)&lt;0,0,(0.0304*(W104^5)-0.2619*(W104^4)+0.9161*(W104^3)-1.6837*(W104^2)+1.7072*W104-0.0091))),IF((0.0239*(W104^5)-0.2058*(W104^4)+0.7198*(W104^3)-1.3229*(W104^2)+1.3414*W104-0.0072)&gt;0.65,0.65,IF((0.0239*(W104^5)-0.2058*(W104^4)+0.7198*(W104^3)-1.3229*(W104^2)+1.3414*W104-0.0072)&lt;0,0,(0.0239*(W104^5)-0.2058*(W104^4)+0.7198*(W104^3)-1.3229*(W104^2)+1.3414*W104-0.0072))))</f>
        <v>0.57004448233860427</v>
      </c>
      <c r="AE104" s="139">
        <f>R104*AD104</f>
        <v>10.514322783665362</v>
      </c>
      <c r="AF104" s="516">
        <f>MAX(Y104,AA104,AC104,AE104)</f>
        <v>13.833555682177309</v>
      </c>
      <c r="AG104" s="636">
        <f>IF(ISNA(VLOOKUP(K104,'Efficiency Lookup'!$D$2:$G$35,3,FALSE)),0,VLOOKUP(K104,'Efficiency Lookup'!$D$2:$G$35,3,FALSE))</f>
        <v>0.7</v>
      </c>
      <c r="AH104" s="1022">
        <f>S104*AG104</f>
        <v>161.01890142835884</v>
      </c>
      <c r="AI104" s="637">
        <f>IF(U104="RR",IF((0.0308*(W104^5)-0.2562*(W104^4)+0.8634*(W104^3)-1.5285*(W104^2)+1.501*W104-0.013)&gt;0.7,0.7,IF((0.0308*(W104^5)-0.2562*(W104^4)+0.8634*(W104^3)-1.5285*(W104^2)+1.501*W104-0.013)&lt;0,0,(0.0308*(W104^5)-0.2562*(W104^4)+0.8634*(W104^3)-1.5285*(W104^2)+1.501*W104-0.013))),IF((0.0152*(W104^5)-0.131*(W104^4)+0.4581*(W104^3)-0.8418*(W104^2)+0.8536*W104-0.0046)&gt;0.65,0.65,IF((0.0152*(W104^5)-0.131*(W104^4)+0.4581*(W104^3)-0.8418*(W104^2)+0.8536*W104-0.0046)&lt;0,0,(0.0152*(W104^5)-0.131*(W104^4)+0.4581*(W104^3)-0.8418*(W104^2)+0.8536*W104-0.0046))))</f>
        <v>0.48849776892628038</v>
      </c>
      <c r="AJ104" s="139">
        <f>S104*AI104</f>
        <v>112.36767728959138</v>
      </c>
      <c r="AK104" s="416">
        <f t="shared" si="23"/>
        <v>161.01890142835884</v>
      </c>
      <c r="AL104" s="641">
        <f>IF(ISNA(VLOOKUP(K104,'Efficiency Lookup'!$D$2:$G$35,4,FALSE)),0,VLOOKUP(K104,'Efficiency Lookup'!$D$2:$G$35,4,FALSE))</f>
        <v>0.8</v>
      </c>
      <c r="AM104" s="1022">
        <f>T104*AL104</f>
        <v>9905.378564655417</v>
      </c>
      <c r="AN104" s="637">
        <f>IF(U104="RR",IF((0.0326*(W104^5)-0.2806*(W104^4)+0.9816*(W104^3)-1.8039*(W104^2)+1.8292*W104-0.0098)&gt;0.85,0.85,IF((0.0326*(W104^5)-0.2806*(W104^4)+0.9816*(W104^3)-1.8039*(W104^2)+1.8292*W104-0.0098)&lt;0,0,(0.0326*(W104^5)-0.2806*(W104^4)+0.9816*(W104^3)-1.8039*(W104^2)+1.8292*W104-0.0098))),IF((0.0304*(W104^5)-0.2619*(W104^4)+0.9161*(W104^3)-1.6837*(W104^2)+1.7072*W104-0.0091)&gt;0.8,0.8,IF((0.0304*(W104^5)-0.2619*(W104^4)+0.9161*(W104^3)-1.6837*(W104^2)+1.7072*W104-0.0091)&lt;0,0,(0.0304*(W104^5)-0.2619*(W104^4)+0.9161*(W104^3)-1.6837*(W104^2)+1.7072*W104-0.0091))))</f>
        <v>0.61078387359578978</v>
      </c>
      <c r="AO104" s="139">
        <f>T104*AN104</f>
        <v>7562.556861441175</v>
      </c>
      <c r="AP104" s="647">
        <f>IF(AK104=AH104,AM104,AO104)</f>
        <v>9905.378564655417</v>
      </c>
      <c r="AQ104" s="789">
        <f>IF(AF104&lt;0,0,AF104)</f>
        <v>13.833555682177309</v>
      </c>
      <c r="AR104" s="789">
        <f>IF(AK104&lt;0,0,AK104)</f>
        <v>161.01890142835884</v>
      </c>
      <c r="AS104" s="790">
        <f>IF(AP104&lt;0,0,AP104)</f>
        <v>9905.378564655417</v>
      </c>
    </row>
    <row r="105" spans="1:45" x14ac:dyDescent="0.25">
      <c r="A105" s="261"/>
      <c r="B105" s="510" t="s">
        <v>297</v>
      </c>
      <c r="C105" s="510" t="s">
        <v>297</v>
      </c>
      <c r="D105" s="510" t="s">
        <v>297</v>
      </c>
      <c r="E105" s="511"/>
      <c r="F105" s="705"/>
      <c r="G105" s="510"/>
      <c r="H105" s="511"/>
      <c r="I105" s="261"/>
      <c r="J105" s="511"/>
      <c r="K105" s="511"/>
      <c r="L105" s="510"/>
      <c r="M105" s="510"/>
      <c r="N105" s="672"/>
      <c r="O105" s="514"/>
      <c r="P105" s="514" t="s">
        <v>297</v>
      </c>
      <c r="Q105" s="688"/>
      <c r="R105" s="674"/>
      <c r="S105" s="674"/>
      <c r="T105" s="674"/>
      <c r="U105" s="1022"/>
      <c r="V105" s="514"/>
      <c r="W105" s="675"/>
      <c r="X105" s="636" t="str">
        <f t="shared" si="22"/>
        <v/>
      </c>
      <c r="Y105" s="706"/>
      <c r="Z105" s="640"/>
      <c r="AA105" s="1022"/>
      <c r="AB105" s="637"/>
      <c r="AC105" s="637"/>
      <c r="AD105" s="637"/>
      <c r="AE105" s="139"/>
      <c r="AF105" s="642"/>
      <c r="AG105" s="583"/>
      <c r="AH105" s="139"/>
      <c r="AI105" s="637"/>
      <c r="AJ105" s="139"/>
      <c r="AK105" s="416" t="str">
        <f t="shared" si="23"/>
        <v/>
      </c>
      <c r="AL105" s="642"/>
      <c r="AM105" s="637"/>
      <c r="AN105" s="637"/>
      <c r="AO105" s="139"/>
      <c r="AP105" s="647"/>
      <c r="AQ105" s="789"/>
      <c r="AR105" s="789"/>
      <c r="AS105" s="790"/>
    </row>
    <row r="106" spans="1:45" x14ac:dyDescent="0.25">
      <c r="A106" s="628"/>
      <c r="B106" s="668" t="s">
        <v>297</v>
      </c>
      <c r="C106" s="668" t="s">
        <v>297</v>
      </c>
      <c r="D106" s="668" t="s">
        <v>297</v>
      </c>
      <c r="E106" s="710"/>
      <c r="F106" s="711"/>
      <c r="G106" s="668"/>
      <c r="H106" s="712"/>
      <c r="I106" s="712" t="str">
        <f t="shared" ref="I106:I115" si="24">IF(G106="","",IF(G106="Proprietary","Filterra","Clearinghouse Not Used"))</f>
        <v/>
      </c>
      <c r="J106" s="712"/>
      <c r="K106" s="712"/>
      <c r="L106" s="712"/>
      <c r="M106" s="712"/>
      <c r="N106" s="712"/>
      <c r="O106" s="712"/>
      <c r="P106" s="712"/>
      <c r="Q106" s="712"/>
      <c r="R106" s="712"/>
      <c r="S106" s="712"/>
      <c r="T106" s="712"/>
      <c r="U106" s="712"/>
      <c r="V106" s="712"/>
      <c r="W106" s="712"/>
      <c r="X106" s="760" t="str">
        <f t="shared" si="22"/>
        <v/>
      </c>
      <c r="Y106" s="713"/>
      <c r="Z106" s="712"/>
      <c r="AA106" s="712"/>
      <c r="AB106" s="638"/>
      <c r="AC106" s="638"/>
      <c r="AD106" s="638"/>
      <c r="AE106" s="629"/>
      <c r="AF106" s="666"/>
      <c r="AG106" s="666"/>
      <c r="AH106" s="629"/>
      <c r="AI106" s="638"/>
      <c r="AJ106" s="629"/>
      <c r="AK106" s="639" t="str">
        <f t="shared" si="23"/>
        <v/>
      </c>
      <c r="AL106" s="644"/>
      <c r="AM106" s="638"/>
      <c r="AN106" s="638"/>
      <c r="AO106" s="629"/>
      <c r="AP106" s="648"/>
      <c r="AQ106" s="791"/>
      <c r="AR106" s="791"/>
      <c r="AS106" s="792"/>
    </row>
    <row r="107" spans="1:45" ht="14.45" customHeight="1" x14ac:dyDescent="0.25">
      <c r="A107" s="261"/>
      <c r="B107" s="510" t="s">
        <v>297</v>
      </c>
      <c r="C107" s="510" t="s">
        <v>297</v>
      </c>
      <c r="D107" s="510" t="s">
        <v>297</v>
      </c>
      <c r="E107" s="704"/>
      <c r="F107" s="705"/>
      <c r="G107" s="510"/>
      <c r="H107" s="511"/>
      <c r="I107" s="261" t="str">
        <f t="shared" si="24"/>
        <v/>
      </c>
      <c r="J107" s="511"/>
      <c r="K107" s="511"/>
      <c r="L107" s="510"/>
      <c r="M107" s="510"/>
      <c r="N107" s="672"/>
      <c r="O107" s="514"/>
      <c r="P107" s="514" t="s">
        <v>297</v>
      </c>
      <c r="Q107" s="688"/>
      <c r="R107" s="674"/>
      <c r="S107" s="674"/>
      <c r="T107" s="674"/>
      <c r="U107" s="1022"/>
      <c r="V107" s="514"/>
      <c r="W107" s="675"/>
      <c r="X107" s="636" t="str">
        <f t="shared" si="22"/>
        <v/>
      </c>
      <c r="Y107" s="706"/>
      <c r="Z107" s="640"/>
      <c r="AA107" s="1022"/>
      <c r="AB107" s="637"/>
      <c r="AC107" s="637"/>
      <c r="AD107" s="637"/>
      <c r="AE107" s="139"/>
      <c r="AF107" s="642"/>
      <c r="AG107" s="583"/>
      <c r="AH107" s="139"/>
      <c r="AI107" s="637"/>
      <c r="AJ107" s="139"/>
      <c r="AK107" s="416" t="str">
        <f t="shared" si="23"/>
        <v/>
      </c>
      <c r="AL107" s="642"/>
      <c r="AM107" s="637"/>
      <c r="AN107" s="637"/>
      <c r="AO107" s="139"/>
      <c r="AP107" s="647"/>
      <c r="AQ107" s="789"/>
      <c r="AR107" s="789"/>
      <c r="AS107" s="790"/>
    </row>
    <row r="108" spans="1:45" ht="30" x14ac:dyDescent="0.25">
      <c r="A108" s="261" t="s">
        <v>670</v>
      </c>
      <c r="B108" s="510">
        <v>38.071902999999999</v>
      </c>
      <c r="C108" s="510">
        <v>-78.487053000000003</v>
      </c>
      <c r="D108" s="510" t="s">
        <v>360</v>
      </c>
      <c r="E108" s="714" t="s">
        <v>671</v>
      </c>
      <c r="F108" s="669">
        <v>41822</v>
      </c>
      <c r="G108" s="510" t="s">
        <v>289</v>
      </c>
      <c r="H108" s="511" t="s">
        <v>672</v>
      </c>
      <c r="I108" s="511" t="str">
        <f t="shared" si="24"/>
        <v>Filterra</v>
      </c>
      <c r="J108" s="511" t="s">
        <v>411</v>
      </c>
      <c r="K108" s="511" t="s">
        <v>662</v>
      </c>
      <c r="L108" s="671"/>
      <c r="M108" s="671">
        <f>N108+O108+P108</f>
        <v>0.62223960804599998</v>
      </c>
      <c r="N108" s="672">
        <v>0.46906696340359999</v>
      </c>
      <c r="O108" s="514">
        <v>0.15317264464239999</v>
      </c>
      <c r="P108" s="514">
        <v>0</v>
      </c>
      <c r="Q108" s="673">
        <f>+N108/M108</f>
        <v>0.75383655642975966</v>
      </c>
      <c r="R108" s="674">
        <f>IF(L107="TT",(1.76*N108+0.5*O108+0.13*P108)-AF107,1.76*N108+0.5*O108+0.13*P108)</f>
        <v>0.902144177911536</v>
      </c>
      <c r="S108" s="674">
        <f>IF(L107="TT",(M108*9.39+N108*6.99+O108*2.36)-AK107,M108*9.39+N108*6.99+O108*2.36)</f>
        <v>9.4830954350991679</v>
      </c>
      <c r="T108" s="674">
        <f>IF(L107="TT",(M108*676.94+N108*101.08+O108*77.38)-AP107,M108*676.94+N108*101.08+O108*77.38)</f>
        <v>480.48466817392404</v>
      </c>
      <c r="U108" s="1022" t="s">
        <v>278</v>
      </c>
      <c r="V108" s="514">
        <f>35.4*4</f>
        <v>141.6</v>
      </c>
      <c r="W108" s="675">
        <f>IF(V108="NA", 0, (V108)*12/N108/43560)</f>
        <v>8.316139806513291E-2</v>
      </c>
      <c r="X108" s="636">
        <f t="shared" si="22"/>
        <v>0.5</v>
      </c>
      <c r="Y108" s="706">
        <f>IF(X108="NA",0,R108*X108)</f>
        <v>0.451072088955768</v>
      </c>
      <c r="Z108" s="635">
        <f>IF(ISNA(VLOOKUP(J108,'Efficiency Lookup'!$B$2:$C$38,2,FALSE)),0,(VLOOKUP(J108,'Efficiency Lookup'!$B$2:$C$38,2,FALSE)))</f>
        <v>0</v>
      </c>
      <c r="AA108" s="635">
        <f>R108*Z108</f>
        <v>0</v>
      </c>
      <c r="AB108" s="637">
        <f>IF(ISNA(VLOOKUP(K108,'Efficiency Lookup'!$D$2:$E$35,2,FALSE)),0,VLOOKUP(K108,'Efficiency Lookup'!$D$2:$E$35,2,FALSE))</f>
        <v>0</v>
      </c>
      <c r="AC108" s="637">
        <f>R108*AB108</f>
        <v>0</v>
      </c>
      <c r="AD108" s="637">
        <f>IF(U108="RR",IF((0.0304*(W108^5)-0.2619*(W108^4)+0.9161*(W108^3)-1.6837*(W108^2)+1.7072*W108-0.0091)&gt;0.85,0.85,IF((0.0304*(W108^5)-0.2619*(W108^4)+0.9161*(W108^3)-1.6837*(W108^2)+1.7072*W108-0.0091)&lt;0,0,(0.0304*(W108^5)-0.2619*(W108^4)+0.9161*(W108^3)-1.6837*(W108^2)+1.7072*W108-0.0091))),IF((0.0239*(W108^5)-0.2058*(W108^4)+0.7198*(W108^3)-1.3229*(W108^2)+1.3414*W108-0.0072)&gt;0.65,0.65,IF((0.0239*(W108^5)-0.2058*(W108^4)+0.7198*(W108^3)-1.3229*(W108^2)+1.3414*W108-0.0072)&lt;0,0,(0.0239*(W108^5)-0.2058*(W108^4)+0.7198*(W108^3)-1.3229*(W108^2)+1.3414*W108-0.0072))))</f>
        <v>9.5607993440478267E-2</v>
      </c>
      <c r="AE108" s="139">
        <f>R108*AD108</f>
        <v>8.6252194644131794E-2</v>
      </c>
      <c r="AF108" s="516">
        <f>MAX(Y108,AA108,AC108,AE108)</f>
        <v>0.451072088955768</v>
      </c>
      <c r="AG108" s="634">
        <f>IF(ISNA(VLOOKUP(K108,'Efficiency Lookup'!$D$2:$G$35,3,FALSE)),0,VLOOKUP(K108,'Efficiency Lookup'!$D$2:$G$35,3,FALSE))</f>
        <v>0</v>
      </c>
      <c r="AH108" s="139">
        <f>S108*AG108</f>
        <v>0</v>
      </c>
      <c r="AI108" s="521">
        <f>IF(U108="RR",IF((0.0308*(W108^5)-0.2562*(W108^4)+0.8634*(W108^3)-1.5285*(W108^2)+1.501*W108-0.013)&gt;0.7,0.7,IF((0.0308*(W108^5)-0.2562*(W108^4)+0.8634*(W108^3)-1.5285*(W108^2)+1.501*W108-0.013)&lt;0,0,(0.0308*(W108^5)-0.2562*(W108^4)+0.8634*(W108^3)-1.5285*(W108^2)+1.501*W108-0.013))),IF((0.0152*(W108^5)-0.131*(W108^4)+0.4581*(W108^3)-0.8418*(W108^2)+0.8536*W108-0.0046)&gt;0.65,0.65,IF((0.0152*(W108^5)-0.131*(W108^4)+0.4581*(W108^3)-0.8418*(W108^2)+0.8536*W108-0.0046)&lt;0,0,(0.0152*(W108^5)-0.131*(W108^4)+0.4581*(W108^3)-0.8418*(W108^2)+0.8536*W108-0.0046))))</f>
        <v>6.0822095249835097E-2</v>
      </c>
      <c r="AJ108" s="1005">
        <f>S108*AI108</f>
        <v>0.57678173381687803</v>
      </c>
      <c r="AK108" s="416">
        <f t="shared" si="23"/>
        <v>0.57678173381687803</v>
      </c>
      <c r="AL108" s="634">
        <f>IF(ISNA(VLOOKUP(K108,'Efficiency Lookup'!$D$2:$G$35,4,FALSE)),0,VLOOKUP(K108,'Efficiency Lookup'!$D$2:$G$35,4,FALSE))</f>
        <v>0</v>
      </c>
      <c r="AM108" s="139">
        <f>T108*AL108</f>
        <v>0</v>
      </c>
      <c r="AN108" s="521">
        <f>IF(U108="RR",IF((0.0326*(W108^5)-0.2806*(W108^4)+0.9816*(W108^3)-1.8039*(W108^2)+1.8292*W108-0.0098)&gt;0.85,0.85,IF((0.0326*(W108^5)-0.2806*(W108^4)+0.9816*(W108^3)-1.8039*(W108^2)+1.8292*W108-0.0098)&lt;0,0,(0.0326*(W108^5)-0.2806*(W108^4)+0.9816*(W108^3)-1.8039*(W108^2)+1.8292*W108-0.0098))),IF((0.0304*(W108^5)-0.2619*(W108^4)+0.9161*(W108^3)-1.6837*(W108^2)+1.7072*W108-0.0091)&gt;0.8,0.8,IF((0.0304*(W108^5)-0.2619*(W108^4)+0.9161*(W108^3)-1.6837*(W108^2)+1.7072*W108-0.0091)&lt;0,0,(0.0304*(W108^5)-0.2619*(W108^4)+0.9161*(W108^3)-1.6837*(W108^2)+1.7072*W108-0.0091))))</f>
        <v>0.121743446187801</v>
      </c>
      <c r="AO108" s="1005">
        <f>T108*AN108</f>
        <v>58.495859343895539</v>
      </c>
      <c r="AP108" s="647">
        <f>IF(AK108=AH108,AM108,AO108)</f>
        <v>58.495859343895539</v>
      </c>
      <c r="AQ108" s="789">
        <f>IF(AF108&lt;0,0,AF108)</f>
        <v>0.451072088955768</v>
      </c>
      <c r="AR108" s="789">
        <f>IF(AK108&lt;0,0,AK108)</f>
        <v>0.57678173381687803</v>
      </c>
      <c r="AS108" s="790">
        <f>IF(AP108&lt;0,0,AP108)</f>
        <v>58.495859343895539</v>
      </c>
    </row>
    <row r="109" spans="1:45" ht="30" x14ac:dyDescent="0.25">
      <c r="A109" s="261" t="s">
        <v>670</v>
      </c>
      <c r="B109" s="510">
        <v>38.072205500000003</v>
      </c>
      <c r="C109" s="510">
        <v>-78.486741999999992</v>
      </c>
      <c r="D109" s="510" t="s">
        <v>296</v>
      </c>
      <c r="E109" s="714" t="s">
        <v>673</v>
      </c>
      <c r="F109" s="669">
        <v>41822</v>
      </c>
      <c r="G109" s="510" t="s">
        <v>289</v>
      </c>
      <c r="H109" s="511" t="s">
        <v>674</v>
      </c>
      <c r="I109" s="511" t="str">
        <f t="shared" si="24"/>
        <v>Filterra</v>
      </c>
      <c r="J109" s="511" t="s">
        <v>411</v>
      </c>
      <c r="K109" s="511" t="s">
        <v>662</v>
      </c>
      <c r="L109" s="671"/>
      <c r="M109" s="671">
        <f>N109+O109+P109</f>
        <v>0.72478904748670003</v>
      </c>
      <c r="N109" s="672">
        <v>0.53226359718490002</v>
      </c>
      <c r="O109" s="514">
        <v>0.19252545030180002</v>
      </c>
      <c r="P109" s="514">
        <v>0</v>
      </c>
      <c r="Q109" s="673">
        <f>+N109/M109</f>
        <v>0.73437036477109174</v>
      </c>
      <c r="R109" s="674">
        <f>IF(L108="TT",(1.76*N109+0.5*O109+0.13*P109)-AF108,1.76*N109+0.5*O109+0.13*P109)</f>
        <v>1.0330466561963241</v>
      </c>
      <c r="S109" s="674">
        <f>IF(L108="TT",(M109*9.39+N109*6.99+O109*2.36)-AK108,M109*9.39+N109*6.99+O109*2.36)</f>
        <v>10.980651762934812</v>
      </c>
      <c r="T109" s="674">
        <f>IF(L108="TT",(M109*676.94+N109*101.08+O109*77.38)-AP108,M109*676.94+N109*101.08+O109*77.38)</f>
        <v>559.33752155344973</v>
      </c>
      <c r="U109" s="1022" t="s">
        <v>278</v>
      </c>
      <c r="V109" s="514">
        <f>35.4*2</f>
        <v>70.8</v>
      </c>
      <c r="W109" s="675">
        <f>IF(V109="NA", 0, (V109)*12/N109/43560)</f>
        <v>3.6643746321485759E-2</v>
      </c>
      <c r="X109" s="636">
        <f t="shared" si="22"/>
        <v>0.5</v>
      </c>
      <c r="Y109" s="706">
        <f>IF(X109="NA",0,R109*X109)</f>
        <v>0.51652332809816204</v>
      </c>
      <c r="Z109" s="635">
        <f>IF(ISNA(VLOOKUP(J109,'Efficiency Lookup'!$B$2:$C$38,2,FALSE)),0,(VLOOKUP(J109,'Efficiency Lookup'!$B$2:$C$38,2,FALSE)))</f>
        <v>0</v>
      </c>
      <c r="AA109" s="635">
        <f>R109*Z109</f>
        <v>0</v>
      </c>
      <c r="AB109" s="637">
        <f>IF(ISNA(VLOOKUP(K109,'Efficiency Lookup'!$D$2:$E$35,2,FALSE)),0,VLOOKUP(K109,'Efficiency Lookup'!$D$2:$E$35,2,FALSE))</f>
        <v>0</v>
      </c>
      <c r="AC109" s="637">
        <f>R109*AB109</f>
        <v>0</v>
      </c>
      <c r="AD109" s="637">
        <f>IF(U109="RR",IF((0.0304*(W109^5)-0.2619*(W109^4)+0.9161*(W109^3)-1.6837*(W109^2)+1.7072*W109-0.0091)&gt;0.85,0.85,IF((0.0304*(W109^5)-0.2619*(W109^4)+0.9161*(W109^3)-1.6837*(W109^2)+1.7072*W109-0.0091)&lt;0,0,(0.0304*(W109^5)-0.2619*(W109^4)+0.9161*(W109^3)-1.6837*(W109^2)+1.7072*W109-0.0091))),IF((0.0239*(W109^5)-0.2058*(W109^4)+0.7198*(W109^3)-1.3229*(W109^2)+1.3414*W109-0.0072)&gt;0.65,0.65,IF((0.0239*(W109^5)-0.2058*(W109^4)+0.7198*(W109^3)-1.3229*(W109^2)+1.3414*W109-0.0072)&lt;0,0,(0.0239*(W109^5)-0.2058*(W109^4)+0.7198*(W109^3)-1.3229*(W109^2)+1.3414*W109-0.0072))))</f>
        <v>4.0212626120839992E-2</v>
      </c>
      <c r="AE109" s="139">
        <f>R109*AD109</f>
        <v>4.154151895100671E-2</v>
      </c>
      <c r="AF109" s="516">
        <f>MAX(Y109,AA109,AC109,AE109)</f>
        <v>0.51652332809816204</v>
      </c>
      <c r="AG109" s="634">
        <f>IF(ISNA(VLOOKUP(K109,'Efficiency Lookup'!$D$2:$G$35,3,FALSE)),0,VLOOKUP(K109,'Efficiency Lookup'!$D$2:$G$35,3,FALSE))</f>
        <v>0</v>
      </c>
      <c r="AH109" s="139">
        <f>S109*AG109</f>
        <v>0</v>
      </c>
      <c r="AI109" s="521">
        <f>IF(U109="RR",IF((0.0308*(W109^5)-0.2562*(W109^4)+0.8634*(W109^3)-1.5285*(W109^2)+1.501*W109-0.013)&gt;0.7,0.7,IF((0.0308*(W109^5)-0.2562*(W109^4)+0.8634*(W109^3)-1.5285*(W109^2)+1.501*W109-0.013)&lt;0,0,(0.0308*(W109^5)-0.2562*(W109^4)+0.8634*(W109^3)-1.5285*(W109^2)+1.501*W109-0.013))),IF((0.0152*(W109^5)-0.131*(W109^4)+0.4581*(W109^3)-0.8418*(W109^2)+0.8536*W109-0.0046)&gt;0.65,0.65,IF((0.0152*(W109^5)-0.131*(W109^4)+0.4581*(W109^3)-0.8418*(W109^2)+0.8536*W109-0.0046)&lt;0,0,(0.0152*(W109^5)-0.131*(W109^4)+0.4581*(W109^3)-0.8418*(W109^2)+0.8536*W109-0.0046))))</f>
        <v>2.5571068122984462E-2</v>
      </c>
      <c r="AJ109" s="1005">
        <f>S109*AI109</f>
        <v>0.28078699426477549</v>
      </c>
      <c r="AK109" s="416">
        <f t="shared" si="23"/>
        <v>0.28078699426477549</v>
      </c>
      <c r="AL109" s="634">
        <f>IF(ISNA(VLOOKUP(K109,'Efficiency Lookup'!$D$2:$G$35,4,FALSE)),0,VLOOKUP(K109,'Efficiency Lookup'!$D$2:$G$35,4,FALSE))</f>
        <v>0</v>
      </c>
      <c r="AM109" s="139">
        <f>T109*AL109</f>
        <v>0</v>
      </c>
      <c r="AN109" s="521">
        <f>IF(U109="RR",IF((0.0326*(W109^5)-0.2806*(W109^4)+0.9816*(W109^3)-1.8039*(W109^2)+1.8292*W109-0.0098)&gt;0.85,0.85,IF((0.0326*(W109^5)-0.2806*(W109^4)+0.9816*(W109^3)-1.8039*(W109^2)+1.8292*W109-0.0098)&lt;0,0,(0.0326*(W109^5)-0.2806*(W109^4)+0.9816*(W109^3)-1.8039*(W109^2)+1.8292*W109-0.0098))),IF((0.0304*(W109^5)-0.2619*(W109^4)+0.9161*(W109^3)-1.6837*(W109^2)+1.7072*W109-0.0091)&gt;0.8,0.8,IF((0.0304*(W109^5)-0.2619*(W109^4)+0.9161*(W109^3)-1.6837*(W109^2)+1.7072*W109-0.0091)&lt;0,0,(0.0304*(W109^5)-0.2619*(W109^4)+0.9161*(W109^3)-1.6837*(W109^2)+1.7072*W109-0.0091))))</f>
        <v>5.1241997229465167E-2</v>
      </c>
      <c r="AO109" s="1005">
        <f>T109*AN109</f>
        <v>28.661571729777783</v>
      </c>
      <c r="AP109" s="647">
        <f>IF(AK109=AH109,AM109,AO109)</f>
        <v>28.661571729777783</v>
      </c>
      <c r="AQ109" s="789">
        <f>IF(AF109&lt;0,0,AF109)</f>
        <v>0.51652332809816204</v>
      </c>
      <c r="AR109" s="789">
        <f>IF(AK109&lt;0,0,AK109)</f>
        <v>0.28078699426477549</v>
      </c>
      <c r="AS109" s="790">
        <f>IF(AP109&lt;0,0,AP109)</f>
        <v>28.661571729777783</v>
      </c>
    </row>
    <row r="110" spans="1:45" ht="30" x14ac:dyDescent="0.25">
      <c r="A110" s="261" t="s">
        <v>670</v>
      </c>
      <c r="B110" s="510">
        <v>38.072433500000002</v>
      </c>
      <c r="C110" s="510">
        <v>-78.486530000000002</v>
      </c>
      <c r="D110" s="510" t="s">
        <v>296</v>
      </c>
      <c r="E110" s="714" t="s">
        <v>675</v>
      </c>
      <c r="F110" s="669">
        <v>41822</v>
      </c>
      <c r="G110" s="510" t="s">
        <v>289</v>
      </c>
      <c r="H110" s="511" t="s">
        <v>674</v>
      </c>
      <c r="I110" s="511" t="str">
        <f t="shared" si="24"/>
        <v>Filterra</v>
      </c>
      <c r="J110" s="511" t="s">
        <v>411</v>
      </c>
      <c r="K110" s="511" t="s">
        <v>662</v>
      </c>
      <c r="L110" s="514"/>
      <c r="M110" s="671">
        <f>N110+O110+P110</f>
        <v>0.98529047437401096</v>
      </c>
      <c r="N110" s="672">
        <v>0.56613581957411996</v>
      </c>
      <c r="O110" s="514">
        <v>0.41915465479989095</v>
      </c>
      <c r="P110" s="514">
        <v>0</v>
      </c>
      <c r="Q110" s="673">
        <f>+N110/M110</f>
        <v>0.5745877325504497</v>
      </c>
      <c r="R110" s="674">
        <f>IF(L109="TT",(1.76*N110+0.5*O110+0.13*P110)-AF109,1.76*N110+0.5*O110+0.13*P110)</f>
        <v>1.2059763698503965</v>
      </c>
      <c r="S110" s="674">
        <f>IF(L109="TT",(M110*9.39+N110*6.99+O110*2.36)-AK109,M110*9.39+N110*6.99+O110*2.36)</f>
        <v>14.198371918522804</v>
      </c>
      <c r="T110" s="674">
        <f>IF(L109="TT",(M110*676.94+N110*101.08+O110*77.38)-AP109,M110*676.94+N110*101.08+O110*77.38)</f>
        <v>756.64172955371066</v>
      </c>
      <c r="U110" s="1022" t="s">
        <v>278</v>
      </c>
      <c r="V110" s="514">
        <f>35.4*2</f>
        <v>70.8</v>
      </c>
      <c r="W110" s="675">
        <f>IF(V110="NA", 0, (V110)*12/N110/43560)</f>
        <v>3.4451330505950124E-2</v>
      </c>
      <c r="X110" s="636">
        <f t="shared" si="22"/>
        <v>0.5</v>
      </c>
      <c r="Y110" s="706">
        <f>IF(X110="NA",0,R110*X110)</f>
        <v>0.60298818492519823</v>
      </c>
      <c r="Z110" s="635">
        <f>IF(ISNA(VLOOKUP(J110,'Efficiency Lookup'!$B$2:$C$38,2,FALSE)),0,(VLOOKUP(J110,'Efficiency Lookup'!$B$2:$C$38,2,FALSE)))</f>
        <v>0</v>
      </c>
      <c r="AA110" s="635">
        <f>R110*Z110</f>
        <v>0</v>
      </c>
      <c r="AB110" s="637">
        <f>IF(ISNA(VLOOKUP(K110,'Efficiency Lookup'!$D$2:$E$35,2,FALSE)),0,VLOOKUP(K110,'Efficiency Lookup'!$D$2:$E$35,2,FALSE))</f>
        <v>0</v>
      </c>
      <c r="AC110" s="637">
        <f>R110*AB110</f>
        <v>0</v>
      </c>
      <c r="AD110" s="637">
        <f>IF(U110="RR",IF((0.0304*(W110^5)-0.2619*(W110^4)+0.9161*(W110^3)-1.6837*(W110^2)+1.7072*W110-0.0091)&gt;0.85,0.85,IF((0.0304*(W110^5)-0.2619*(W110^4)+0.9161*(W110^3)-1.6837*(W110^2)+1.7072*W110-0.0091)&lt;0,0,(0.0304*(W110^5)-0.2619*(W110^4)+0.9161*(W110^3)-1.6837*(W110^2)+1.7072*W110-0.0091))),IF((0.0239*(W110^5)-0.2058*(W110^4)+0.7198*(W110^3)-1.3229*(W110^2)+1.3414*W110-0.0072)&gt;0.65,0.65,IF((0.0239*(W110^5)-0.2058*(W110^4)+0.7198*(W110^3)-1.3229*(W110^2)+1.3414*W110-0.0072)&lt;0,0,(0.0239*(W110^5)-0.2058*(W110^4)+0.7198*(W110^3)-1.3229*(W110^2)+1.3414*W110-0.0072))))</f>
        <v>3.7472016366254975E-2</v>
      </c>
      <c r="AE110" s="139">
        <f>R110*AD110</f>
        <v>4.5190366268350816E-2</v>
      </c>
      <c r="AF110" s="516">
        <f>MAX(Y110,AA110,AC110,AE110)</f>
        <v>0.60298818492519823</v>
      </c>
      <c r="AG110" s="634">
        <f>IF(ISNA(VLOOKUP(K110,'Efficiency Lookup'!$D$2:$G$35,3,FALSE)),0,VLOOKUP(K110,'Efficiency Lookup'!$D$2:$G$35,3,FALSE))</f>
        <v>0</v>
      </c>
      <c r="AH110" s="139">
        <f>S110*AG110</f>
        <v>0</v>
      </c>
      <c r="AI110" s="521">
        <f>IF(U110="RR",IF((0.0308*(W110^5)-0.2562*(W110^4)+0.8634*(W110^3)-1.5285*(W110^2)+1.501*W110-0.013)&gt;0.7,0.7,IF((0.0308*(W110^5)-0.2562*(W110^4)+0.8634*(W110^3)-1.5285*(W110^2)+1.501*W110-0.013)&lt;0,0,(0.0308*(W110^5)-0.2562*(W110^4)+0.8634*(W110^3)-1.5285*(W110^2)+1.501*W110-0.013))),IF((0.0152*(W110^5)-0.131*(W110^4)+0.4581*(W110^3)-0.8418*(W110^2)+0.8536*W110-0.0046)&gt;0.65,0.65,IF((0.0152*(W110^5)-0.131*(W110^4)+0.4581*(W110^3)-0.8418*(W110^2)+0.8536*W110-0.0046)&lt;0,0,(0.0152*(W110^5)-0.131*(W110^4)+0.4581*(W110^3)-0.8418*(W110^2)+0.8536*W110-0.0046))))</f>
        <v>2.3827076147406531E-2</v>
      </c>
      <c r="AJ110" s="1005">
        <f>S110*AI110</f>
        <v>0.33830568887184143</v>
      </c>
      <c r="AK110" s="416">
        <f t="shared" si="23"/>
        <v>0.33830568887184143</v>
      </c>
      <c r="AL110" s="634">
        <f>IF(ISNA(VLOOKUP(K110,'Efficiency Lookup'!$D$2:$G$35,4,FALSE)),0,VLOOKUP(K110,'Efficiency Lookup'!$D$2:$G$35,4,FALSE))</f>
        <v>0</v>
      </c>
      <c r="AM110" s="139">
        <f>T110*AL110</f>
        <v>0</v>
      </c>
      <c r="AN110" s="521">
        <f>IF(U110="RR",IF((0.0326*(W110^5)-0.2806*(W110^4)+0.9816*(W110^3)-1.8039*(W110^2)+1.8292*W110-0.0098)&gt;0.85,0.85,IF((0.0326*(W110^5)-0.2806*(W110^4)+0.9816*(W110^3)-1.8039*(W110^2)+1.8292*W110-0.0098)&lt;0,0,(0.0326*(W110^5)-0.2806*(W110^4)+0.9816*(W110^3)-1.8039*(W110^2)+1.8292*W110-0.0098))),IF((0.0304*(W110^5)-0.2619*(W110^4)+0.9161*(W110^3)-1.6837*(W110^2)+1.7072*W110-0.0091)&gt;0.8,0.8,IF((0.0304*(W110^5)-0.2619*(W110^4)+0.9161*(W110^3)-1.6837*(W110^2)+1.7072*W110-0.0091)&lt;0,0,(0.0304*(W110^5)-0.2619*(W110^4)+0.9161*(W110^3)-1.6837*(W110^2)+1.7072*W110-0.0091))))</f>
        <v>4.7754029657259139E-2</v>
      </c>
      <c r="AO110" s="1005">
        <f>T110*AN110</f>
        <v>36.132691593027751</v>
      </c>
      <c r="AP110" s="647">
        <f>IF(AK110=AH110,AM110,AO110)</f>
        <v>36.132691593027751</v>
      </c>
      <c r="AQ110" s="789">
        <f>IF(AF110&lt;0,0,AF110)</f>
        <v>0.60298818492519823</v>
      </c>
      <c r="AR110" s="789">
        <f>IF(AK110&lt;0,0,AK110)</f>
        <v>0.33830568887184143</v>
      </c>
      <c r="AS110" s="790">
        <f>IF(AP110&lt;0,0,AP110)</f>
        <v>36.132691593027751</v>
      </c>
    </row>
    <row r="111" spans="1:45" ht="30" x14ac:dyDescent="0.25">
      <c r="A111" s="261" t="s">
        <v>670</v>
      </c>
      <c r="B111" s="510">
        <v>38.073077999999995</v>
      </c>
      <c r="C111" s="510">
        <v>-78.486086999999998</v>
      </c>
      <c r="D111" s="510" t="s">
        <v>296</v>
      </c>
      <c r="E111" s="714" t="s">
        <v>676</v>
      </c>
      <c r="F111" s="669">
        <v>41822</v>
      </c>
      <c r="G111" s="510" t="s">
        <v>289</v>
      </c>
      <c r="H111" s="511" t="s">
        <v>674</v>
      </c>
      <c r="I111" s="511" t="str">
        <f t="shared" si="24"/>
        <v>Filterra</v>
      </c>
      <c r="J111" s="511" t="s">
        <v>411</v>
      </c>
      <c r="K111" s="511" t="s">
        <v>662</v>
      </c>
      <c r="L111" s="514"/>
      <c r="M111" s="671">
        <f>N111+O111+P111</f>
        <v>0.58831824355420004</v>
      </c>
      <c r="N111" s="672">
        <v>0.30626132228550002</v>
      </c>
      <c r="O111" s="514">
        <v>0.28205692126869997</v>
      </c>
      <c r="P111" s="514">
        <v>0</v>
      </c>
      <c r="Q111" s="673">
        <f>+N111/M111</f>
        <v>0.52057084008696908</v>
      </c>
      <c r="R111" s="674">
        <f>IF(L110="TT",(1.76*N111+0.5*O111+0.13*P111)-AF110,1.76*N111+0.5*O111+0.13*P111)</f>
        <v>0.68004838785682997</v>
      </c>
      <c r="S111" s="674">
        <f>IF(L110="TT",(M111*9.39+N111*6.99+O111*2.36)-AK110,M111*9.39+N111*6.99+O111*2.36)</f>
        <v>8.3307292839437146</v>
      </c>
      <c r="T111" s="674">
        <f>IF(L110="TT",(M111*676.94+N111*101.08+O111*77.38)-AP110,M111*676.94+N111*101.08+O111*77.38)</f>
        <v>451.03861081597051</v>
      </c>
      <c r="U111" s="1022" t="s">
        <v>278</v>
      </c>
      <c r="V111" s="514">
        <f>35.4*2</f>
        <v>70.8</v>
      </c>
      <c r="W111" s="675">
        <f>IF(V111="NA", 0, (V111)*12/N111/43560)</f>
        <v>6.3684607921933409E-2</v>
      </c>
      <c r="X111" s="636">
        <f t="shared" si="22"/>
        <v>0.5</v>
      </c>
      <c r="Y111" s="706">
        <f>IF(X111="NA",0,R111*X111)</f>
        <v>0.34002419392841499</v>
      </c>
      <c r="Z111" s="635">
        <f>IF(ISNA(VLOOKUP(J111,'Efficiency Lookup'!$B$2:$C$38,2,FALSE)),0,(VLOOKUP(J111,'Efficiency Lookup'!$B$2:$C$38,2,FALSE)))</f>
        <v>0</v>
      </c>
      <c r="AA111" s="635">
        <f>R111*Z111</f>
        <v>0</v>
      </c>
      <c r="AB111" s="637">
        <f>IF(ISNA(VLOOKUP(K111,'Efficiency Lookup'!$D$2:$E$35,2,FALSE)),0,VLOOKUP(K111,'Efficiency Lookup'!$D$2:$E$35,2,FALSE))</f>
        <v>0</v>
      </c>
      <c r="AC111" s="637">
        <f>R111*AB111</f>
        <v>0</v>
      </c>
      <c r="AD111" s="637">
        <f>IF(U111="RR",IF((0.0304*(W111^5)-0.2619*(W111^4)+0.9161*(W111^3)-1.6837*(W111^2)+1.7072*W111-0.0091)&gt;0.85,0.85,IF((0.0304*(W111^5)-0.2619*(W111^4)+0.9161*(W111^3)-1.6837*(W111^2)+1.7072*W111-0.0091)&lt;0,0,(0.0304*(W111^5)-0.2619*(W111^4)+0.9161*(W111^3)-1.6837*(W111^2)+1.7072*W111-0.0091))),IF((0.0239*(W111^5)-0.2058*(W111^4)+0.7198*(W111^3)-1.3229*(W111^2)+1.3414*W111-0.0072)&gt;0.65,0.65,IF((0.0239*(W111^5)-0.2058*(W111^4)+0.7198*(W111^3)-1.3229*(W111^2)+1.3414*W111-0.0072)&lt;0,0,(0.0239*(W111^5)-0.2058*(W111^4)+0.7198*(W111^3)-1.3229*(W111^2)+1.3414*W111-0.0072))))</f>
        <v>7.3043764001936337E-2</v>
      </c>
      <c r="AE111" s="139">
        <f>R111*AD111</f>
        <v>4.9673293952511556E-2</v>
      </c>
      <c r="AF111" s="516">
        <f>MAX(Y111,AA111,AC111,AE111)</f>
        <v>0.34002419392841499</v>
      </c>
      <c r="AG111" s="634">
        <f>IF(ISNA(VLOOKUP(K111,'Efficiency Lookup'!$D$2:$G$35,3,FALSE)),0,VLOOKUP(K111,'Efficiency Lookup'!$D$2:$G$35,3,FALSE))</f>
        <v>0</v>
      </c>
      <c r="AH111" s="139">
        <f>S111*AG111</f>
        <v>0</v>
      </c>
      <c r="AI111" s="521">
        <f>IF(U111="RR",IF((0.0308*(W111^5)-0.2562*(W111^4)+0.8634*(W111^3)-1.5285*(W111^2)+1.501*W111-0.013)&gt;0.7,0.7,IF((0.0308*(W111^5)-0.2562*(W111^4)+0.8634*(W111^3)-1.5285*(W111^2)+1.501*W111-0.013)&lt;0,0,(0.0308*(W111^5)-0.2562*(W111^4)+0.8634*(W111^3)-1.5285*(W111^2)+1.501*W111-0.013))),IF((0.0152*(W111^5)-0.131*(W111^4)+0.4581*(W111^3)-0.8418*(W111^2)+0.8536*W111-0.0046)&gt;0.65,0.65,IF((0.0152*(W111^5)-0.131*(W111^4)+0.4581*(W111^3)-0.8418*(W111^2)+0.8536*W111-0.0046)&lt;0,0,(0.0152*(W111^5)-0.131*(W111^4)+0.4581*(W111^3)-0.8418*(W111^2)+0.8536*W111-0.0046))))</f>
        <v>4.6463251037822485E-2</v>
      </c>
      <c r="AJ111" s="1005">
        <f>S111*AI111</f>
        <v>0.38707276604801599</v>
      </c>
      <c r="AK111" s="416">
        <f t="shared" si="23"/>
        <v>0.38707276604801599</v>
      </c>
      <c r="AL111" s="634">
        <f>IF(ISNA(VLOOKUP(K111,'Efficiency Lookup'!$D$2:$G$35,4,FALSE)),0,VLOOKUP(K111,'Efficiency Lookup'!$D$2:$G$35,4,FALSE))</f>
        <v>0</v>
      </c>
      <c r="AM111" s="139">
        <f>T111*AL111</f>
        <v>0</v>
      </c>
      <c r="AN111" s="521">
        <f>IF(U111="RR",IF((0.0326*(W111^5)-0.2806*(W111^4)+0.9816*(W111^3)-1.8039*(W111^2)+1.8292*W111-0.0098)&gt;0.85,0.85,IF((0.0326*(W111^5)-0.2806*(W111^4)+0.9816*(W111^3)-1.8039*(W111^2)+1.8292*W111-0.0098)&lt;0,0,(0.0326*(W111^5)-0.2806*(W111^4)+0.9816*(W111^3)-1.8039*(W111^2)+1.8292*W111-0.0098))),IF((0.0304*(W111^5)-0.2619*(W111^4)+0.9161*(W111^3)-1.6837*(W111^2)+1.7072*W111-0.0091)&gt;0.8,0.8,IF((0.0304*(W111^5)-0.2619*(W111^4)+0.9161*(W111^3)-1.6837*(W111^2)+1.7072*W111-0.0091)&lt;0,0,(0.0304*(W111^5)-0.2619*(W111^4)+0.9161*(W111^3)-1.6837*(W111^2)+1.7072*W111-0.0091))))</f>
        <v>9.3026072318857428E-2</v>
      </c>
      <c r="AO111" s="1005">
        <f>T111*AN111</f>
        <v>41.95835042836346</v>
      </c>
      <c r="AP111" s="647">
        <f>IF(AK111=AH111,AM111,AO111)</f>
        <v>41.95835042836346</v>
      </c>
      <c r="AQ111" s="789">
        <f>IF(AF111&lt;0,0,AF111)</f>
        <v>0.34002419392841499</v>
      </c>
      <c r="AR111" s="789">
        <f>IF(AK111&lt;0,0,AK111)</f>
        <v>0.38707276604801599</v>
      </c>
      <c r="AS111" s="790">
        <f>IF(AP111&lt;0,0,AP111)</f>
        <v>41.95835042836346</v>
      </c>
    </row>
    <row r="112" spans="1:45" ht="30" x14ac:dyDescent="0.25">
      <c r="A112" s="261" t="s">
        <v>670</v>
      </c>
      <c r="B112" s="510">
        <v>38.072979000000004</v>
      </c>
      <c r="C112" s="510">
        <v>-78.486673499999995</v>
      </c>
      <c r="D112" s="510" t="s">
        <v>296</v>
      </c>
      <c r="E112" s="714" t="s">
        <v>677</v>
      </c>
      <c r="F112" s="669">
        <v>41822</v>
      </c>
      <c r="G112" s="510" t="s">
        <v>289</v>
      </c>
      <c r="H112" s="511" t="s">
        <v>674</v>
      </c>
      <c r="I112" s="511" t="str">
        <f t="shared" si="24"/>
        <v>Filterra</v>
      </c>
      <c r="J112" s="511" t="s">
        <v>411</v>
      </c>
      <c r="K112" s="511" t="s">
        <v>662</v>
      </c>
      <c r="L112" s="514"/>
      <c r="M112" s="671">
        <f>N112+O112+P112</f>
        <v>0.50326402386000002</v>
      </c>
      <c r="N112" s="672">
        <v>0.15421579402799998</v>
      </c>
      <c r="O112" s="514">
        <v>0.34904822983200001</v>
      </c>
      <c r="P112" s="514">
        <v>0</v>
      </c>
      <c r="Q112" s="673">
        <f>+N112/M112</f>
        <v>0.30643119062073138</v>
      </c>
      <c r="R112" s="674">
        <f>IF(L111="TT",(1.76*N112+0.5*O112+0.13*P112)-AF111,1.76*N112+0.5*O112+0.13*P112)</f>
        <v>0.44594391240527997</v>
      </c>
      <c r="S112" s="674">
        <f>IF(L111="TT",(M112*9.39+N112*6.99+O112*2.36)-AK111,M112*9.39+N112*6.99+O112*2.36)</f>
        <v>6.6273714067046408</v>
      </c>
      <c r="T112" s="674">
        <f>IF(L111="TT",(M112*676.94+N112*101.08+O112*77.38)-AP111,M112*676.94+N112*101.08+O112*77.38)</f>
        <v>383.27703279653883</v>
      </c>
      <c r="U112" s="1022" t="s">
        <v>278</v>
      </c>
      <c r="V112" s="514">
        <f>35.4*2</f>
        <v>70.8</v>
      </c>
      <c r="W112" s="675">
        <f>IF(V112="NA", 0, (V112)*12/N112/43560)</f>
        <v>0.12647298776585564</v>
      </c>
      <c r="X112" s="636">
        <f t="shared" si="22"/>
        <v>0.5</v>
      </c>
      <c r="Y112" s="706">
        <f>IF(X112="NA",0,R112*X112)</f>
        <v>0.22297195620263999</v>
      </c>
      <c r="Z112" s="635">
        <f>IF(ISNA(VLOOKUP(J112,'Efficiency Lookup'!$B$2:$C$38,2,FALSE)),0,(VLOOKUP(J112,'Efficiency Lookup'!$B$2:$C$38,2,FALSE)))</f>
        <v>0</v>
      </c>
      <c r="AA112" s="635">
        <f>R112*Z112</f>
        <v>0</v>
      </c>
      <c r="AB112" s="637">
        <f>IF(ISNA(VLOOKUP(K112,'Efficiency Lookup'!$D$2:$E$35,2,FALSE)),0,VLOOKUP(K112,'Efficiency Lookup'!$D$2:$E$35,2,FALSE))</f>
        <v>0</v>
      </c>
      <c r="AC112" s="637">
        <f>R112*AB112</f>
        <v>0</v>
      </c>
      <c r="AD112" s="637">
        <f>IF(U112="RR",IF((0.0304*(W112^5)-0.2619*(W112^4)+0.9161*(W112^3)-1.6837*(W112^2)+1.7072*W112-0.0091)&gt;0.85,0.85,IF((0.0304*(W112^5)-0.2619*(W112^4)+0.9161*(W112^3)-1.6837*(W112^2)+1.7072*W112-0.0091)&lt;0,0,(0.0304*(W112^5)-0.2619*(W112^4)+0.9161*(W112^3)-1.6837*(W112^2)+1.7072*W112-0.0091))),IF((0.0239*(W112^5)-0.2058*(W112^4)+0.7198*(W112^3)-1.3229*(W112^2)+1.3414*W112-0.0072)&gt;0.65,0.65,IF((0.0239*(W112^5)-0.2058*(W112^4)+0.7198*(W112^3)-1.3229*(W112^2)+1.3414*W112-0.0072)&lt;0,0,(0.0239*(W112^5)-0.2058*(W112^4)+0.7198*(W112^3)-1.3229*(W112^2)+1.3414*W112-0.0072))))</f>
        <v>0.14269479473002969</v>
      </c>
      <c r="AE112" s="139">
        <f>R112*AD112</f>
        <v>6.3633875041777768E-2</v>
      </c>
      <c r="AF112" s="516">
        <f>MAX(Y112,AA112,AC112,AE112)</f>
        <v>0.22297195620263999</v>
      </c>
      <c r="AG112" s="634">
        <f>IF(ISNA(VLOOKUP(K112,'Efficiency Lookup'!$D$2:$G$35,3,FALSE)),0,VLOOKUP(K112,'Efficiency Lookup'!$D$2:$G$35,3,FALSE))</f>
        <v>0</v>
      </c>
      <c r="AH112" s="139">
        <f>S112*AG112</f>
        <v>0</v>
      </c>
      <c r="AI112" s="521">
        <f>IF(U112="RR",IF((0.0308*(W112^5)-0.2562*(W112^4)+0.8634*(W112^3)-1.5285*(W112^2)+1.501*W112-0.013)&gt;0.7,0.7,IF((0.0308*(W112^5)-0.2562*(W112^4)+0.8634*(W112^3)-1.5285*(W112^2)+1.501*W112-0.013)&lt;0,0,(0.0308*(W112^5)-0.2562*(W112^4)+0.8634*(W112^3)-1.5285*(W112^2)+1.501*W112-0.013))),IF((0.0152*(W112^5)-0.131*(W112^4)+0.4581*(W112^3)-0.8418*(W112^2)+0.8536*W112-0.0046)&gt;0.65,0.65,IF((0.0152*(W112^5)-0.131*(W112^4)+0.4581*(W112^3)-0.8418*(W112^2)+0.8536*W112-0.0046)&lt;0,0,(0.0152*(W112^5)-0.131*(W112^4)+0.4581*(W112^3)-0.8418*(W112^2)+0.8536*W112-0.0046))))</f>
        <v>9.0786106557985718E-2</v>
      </c>
      <c r="AJ112" s="1005">
        <f>S112*AI112</f>
        <v>0.60167324672843525</v>
      </c>
      <c r="AK112" s="416">
        <f t="shared" si="23"/>
        <v>0.60167324672843525</v>
      </c>
      <c r="AL112" s="634">
        <f>IF(ISNA(VLOOKUP(K112,'Efficiency Lookup'!$D$2:$G$35,4,FALSE)),0,VLOOKUP(K112,'Efficiency Lookup'!$D$2:$G$35,4,FALSE))</f>
        <v>0</v>
      </c>
      <c r="AM112" s="139">
        <f>T112*AL112</f>
        <v>0</v>
      </c>
      <c r="AN112" s="521">
        <f>IF(U112="RR",IF((0.0326*(W112^5)-0.2806*(W112^4)+0.9816*(W112^3)-1.8039*(W112^2)+1.8292*W112-0.0098)&gt;0.85,0.85,IF((0.0326*(W112^5)-0.2806*(W112^4)+0.9816*(W112^3)-1.8039*(W112^2)+1.8292*W112-0.0098)&lt;0,0,(0.0326*(W112^5)-0.2806*(W112^4)+0.9816*(W112^3)-1.8039*(W112^2)+1.8292*W112-0.0098))),IF((0.0304*(W112^5)-0.2619*(W112^4)+0.9161*(W112^3)-1.6837*(W112^2)+1.7072*W112-0.0091)&gt;0.8,0.8,IF((0.0304*(W112^5)-0.2619*(W112^4)+0.9161*(W112^3)-1.6837*(W112^2)+1.7072*W112-0.0091)&lt;0,0,(0.0304*(W112^5)-0.2619*(W112^4)+0.9161*(W112^3)-1.6837*(W112^2)+1.7072*W112-0.0091))))</f>
        <v>0.18167043686083012</v>
      </c>
      <c r="AO112" s="1005">
        <f>T112*AN112</f>
        <v>69.630105986869921</v>
      </c>
      <c r="AP112" s="647">
        <f>IF(AK112=AH112,AM112,AO112)</f>
        <v>69.630105986869921</v>
      </c>
      <c r="AQ112" s="789">
        <f>IF(AF112&lt;0,0,AF112)</f>
        <v>0.22297195620263999</v>
      </c>
      <c r="AR112" s="789">
        <f>IF(AK112&lt;0,0,AK112)</f>
        <v>0.60167324672843525</v>
      </c>
      <c r="AS112" s="790">
        <f>IF(AP112&lt;0,0,AP112)</f>
        <v>69.630105986869921</v>
      </c>
    </row>
    <row r="113" spans="1:45" x14ac:dyDescent="0.25">
      <c r="A113" s="261"/>
      <c r="B113" s="510" t="s">
        <v>297</v>
      </c>
      <c r="C113" s="510" t="s">
        <v>297</v>
      </c>
      <c r="D113" s="510" t="s">
        <v>297</v>
      </c>
      <c r="E113" s="511"/>
      <c r="F113" s="705"/>
      <c r="G113" s="510"/>
      <c r="H113" s="511"/>
      <c r="I113" s="261" t="str">
        <f t="shared" si="24"/>
        <v/>
      </c>
      <c r="J113" s="511"/>
      <c r="K113" s="511"/>
      <c r="L113" s="510"/>
      <c r="M113" s="510"/>
      <c r="N113" s="672"/>
      <c r="O113" s="514"/>
      <c r="P113" s="514" t="s">
        <v>297</v>
      </c>
      <c r="Q113" s="688"/>
      <c r="R113" s="674"/>
      <c r="S113" s="674"/>
      <c r="T113" s="674"/>
      <c r="U113" s="1022"/>
      <c r="V113" s="514"/>
      <c r="W113" s="675"/>
      <c r="X113" s="636" t="str">
        <f t="shared" si="22"/>
        <v/>
      </c>
      <c r="Y113" s="706"/>
      <c r="Z113" s="640"/>
      <c r="AA113" s="1022"/>
      <c r="AB113" s="637"/>
      <c r="AC113" s="637"/>
      <c r="AD113" s="637"/>
      <c r="AE113" s="139"/>
      <c r="AF113" s="642"/>
      <c r="AG113" s="583"/>
      <c r="AH113" s="139"/>
      <c r="AI113" s="637"/>
      <c r="AJ113" s="139"/>
      <c r="AK113" s="416" t="str">
        <f t="shared" si="23"/>
        <v/>
      </c>
      <c r="AL113" s="642"/>
      <c r="AM113" s="637"/>
      <c r="AN113" s="637"/>
      <c r="AO113" s="139"/>
      <c r="AP113" s="647"/>
      <c r="AQ113" s="789"/>
      <c r="AR113" s="789"/>
      <c r="AS113" s="790"/>
    </row>
    <row r="114" spans="1:45" x14ac:dyDescent="0.25">
      <c r="A114" s="628"/>
      <c r="B114" s="668" t="s">
        <v>297</v>
      </c>
      <c r="C114" s="668" t="s">
        <v>297</v>
      </c>
      <c r="D114" s="668" t="s">
        <v>297</v>
      </c>
      <c r="E114" s="710"/>
      <c r="F114" s="711"/>
      <c r="G114" s="668"/>
      <c r="H114" s="712"/>
      <c r="I114" s="712" t="str">
        <f t="shared" si="24"/>
        <v/>
      </c>
      <c r="J114" s="712"/>
      <c r="K114" s="712"/>
      <c r="L114" s="712"/>
      <c r="M114" s="712"/>
      <c r="N114" s="712"/>
      <c r="O114" s="712"/>
      <c r="P114" s="712"/>
      <c r="Q114" s="712"/>
      <c r="R114" s="712"/>
      <c r="S114" s="712"/>
      <c r="T114" s="712"/>
      <c r="U114" s="712"/>
      <c r="V114" s="712"/>
      <c r="W114" s="712"/>
      <c r="X114" s="760" t="str">
        <f t="shared" si="22"/>
        <v/>
      </c>
      <c r="Y114" s="713"/>
      <c r="Z114" s="712"/>
      <c r="AA114" s="712"/>
      <c r="AB114" s="638"/>
      <c r="AC114" s="638"/>
      <c r="AD114" s="638"/>
      <c r="AE114" s="629"/>
      <c r="AF114" s="666"/>
      <c r="AG114" s="666"/>
      <c r="AH114" s="629"/>
      <c r="AI114" s="638"/>
      <c r="AJ114" s="629"/>
      <c r="AK114" s="639" t="str">
        <f t="shared" si="23"/>
        <v/>
      </c>
      <c r="AL114" s="644"/>
      <c r="AM114" s="638"/>
      <c r="AN114" s="638"/>
      <c r="AO114" s="629"/>
      <c r="AP114" s="648"/>
      <c r="AQ114" s="791"/>
      <c r="AR114" s="791"/>
      <c r="AS114" s="792"/>
    </row>
    <row r="115" spans="1:45" ht="14.45" customHeight="1" x14ac:dyDescent="0.25">
      <c r="A115" s="261"/>
      <c r="B115" s="510" t="s">
        <v>297</v>
      </c>
      <c r="C115" s="510" t="s">
        <v>297</v>
      </c>
      <c r="D115" s="510" t="s">
        <v>297</v>
      </c>
      <c r="E115" s="704"/>
      <c r="F115" s="705"/>
      <c r="G115" s="510"/>
      <c r="H115" s="511"/>
      <c r="I115" s="261" t="str">
        <f t="shared" si="24"/>
        <v/>
      </c>
      <c r="J115" s="511"/>
      <c r="K115" s="511"/>
      <c r="L115" s="510"/>
      <c r="M115" s="510"/>
      <c r="N115" s="672"/>
      <c r="O115" s="514"/>
      <c r="P115" s="514" t="s">
        <v>297</v>
      </c>
      <c r="Q115" s="688"/>
      <c r="R115" s="674"/>
      <c r="S115" s="674"/>
      <c r="T115" s="674"/>
      <c r="U115" s="1022"/>
      <c r="V115" s="514"/>
      <c r="W115" s="675"/>
      <c r="X115" s="636" t="str">
        <f t="shared" si="22"/>
        <v/>
      </c>
      <c r="Y115" s="706"/>
      <c r="Z115" s="640"/>
      <c r="AA115" s="1022"/>
      <c r="AB115" s="637"/>
      <c r="AC115" s="637"/>
      <c r="AD115" s="637"/>
      <c r="AE115" s="139"/>
      <c r="AF115" s="642"/>
      <c r="AG115" s="583"/>
      <c r="AH115" s="139"/>
      <c r="AI115" s="637"/>
      <c r="AJ115" s="139"/>
      <c r="AK115" s="416" t="str">
        <f t="shared" si="23"/>
        <v/>
      </c>
      <c r="AL115" s="642"/>
      <c r="AM115" s="637"/>
      <c r="AN115" s="637"/>
      <c r="AO115" s="139"/>
      <c r="AP115" s="647"/>
      <c r="AQ115" s="789"/>
      <c r="AR115" s="789"/>
      <c r="AS115" s="790"/>
    </row>
    <row r="116" spans="1:45" x14ac:dyDescent="0.25">
      <c r="A116" s="261" t="s">
        <v>159</v>
      </c>
      <c r="B116" s="510">
        <v>38.129352999999995</v>
      </c>
      <c r="C116" s="510">
        <v>-78.440316999999993</v>
      </c>
      <c r="D116" s="510" t="s">
        <v>296</v>
      </c>
      <c r="E116" s="714" t="s">
        <v>678</v>
      </c>
      <c r="F116" s="669">
        <v>41289</v>
      </c>
      <c r="G116" s="510" t="s">
        <v>331</v>
      </c>
      <c r="H116" s="511"/>
      <c r="I116" s="511"/>
      <c r="J116" s="511" t="s">
        <v>367</v>
      </c>
      <c r="K116" s="511" t="s">
        <v>334</v>
      </c>
      <c r="L116" s="261"/>
      <c r="M116" s="514">
        <f t="shared" ref="M116:M125" si="25">N116+O116+P116</f>
        <v>8.1643941828723303</v>
      </c>
      <c r="N116" s="672">
        <v>7.5042134049603302</v>
      </c>
      <c r="O116" s="514">
        <v>0.66018077791199992</v>
      </c>
      <c r="P116" s="514">
        <v>0</v>
      </c>
      <c r="Q116" s="673">
        <f t="shared" ref="Q116:Q125" si="26">+N116/M116</f>
        <v>0.91913903675829867</v>
      </c>
      <c r="R116" s="674">
        <f t="shared" ref="R116:R125" si="27">IF(L115="TT",(1.76*N116+0.5*O116+0.13*P116)-AF115,1.76*N116+0.5*O116+0.13*P116)</f>
        <v>13.537505981686181</v>
      </c>
      <c r="S116" s="674">
        <f t="shared" ref="S116:S125" si="28">IF(L115="TT",(M116*9.39+N116*6.99+O116*2.36)-AK115,M116*9.39+N116*6.99+O116*2.36)</f>
        <v>130.6761397137162</v>
      </c>
      <c r="T116" s="674">
        <f t="shared" ref="T116:T125" si="29">IF(L115="TT",(M116*676.94+N116*101.08+O116*77.38)-AP115,M116*676.94+N116*101.08+O116*77.38)</f>
        <v>6336.4156777218168</v>
      </c>
      <c r="U116" s="1022" t="s">
        <v>285</v>
      </c>
      <c r="V116" s="514" t="s">
        <v>295</v>
      </c>
      <c r="W116" s="675">
        <f t="shared" ref="W116:W125" si="30">IF(V116="NA", 0, (V116)*12/N116/43560)</f>
        <v>0</v>
      </c>
      <c r="X116" s="634" t="str">
        <f t="shared" si="22"/>
        <v>NA</v>
      </c>
      <c r="Y116" s="676">
        <f t="shared" ref="Y116:Y125" si="31">IF(X116="NA",0,R116*X116)</f>
        <v>0</v>
      </c>
      <c r="Z116" s="635">
        <f>IF(ISNA(VLOOKUP(J116,'Efficiency Lookup'!$B$2:$C$38,2,FALSE)),0,(VLOOKUP(J116,'Efficiency Lookup'!$B$2:$C$38,2,FALSE)))</f>
        <v>0.35</v>
      </c>
      <c r="AA116" s="139">
        <f t="shared" ref="AA116:AA125" si="32">R116*Z116</f>
        <v>4.7381270935901627</v>
      </c>
      <c r="AB116" s="1061">
        <f>IF(ISNA(VLOOKUP(K116,'Efficiency Lookup'!$D$2:$E$35,2,FALSE)),0,VLOOKUP(K116,'Efficiency Lookup'!$D$2:$E$35,2,FALSE))</f>
        <v>0.75</v>
      </c>
      <c r="AC116" s="1005">
        <f t="shared" ref="AC116:AC125" si="33">R116*AB116</f>
        <v>10.153129486264636</v>
      </c>
      <c r="AD116" s="637">
        <f t="shared" ref="AD116:AD125" si="34">IF(U116="RR",IF((0.0304*(W116^5)-0.2619*(W116^4)+0.9161*(W116^3)-1.6837*(W116^2)+1.7072*W116-0.0091)&gt;0.85,0.85,IF((0.0304*(W116^5)-0.2619*(W116^4)+0.9161*(W116^3)-1.6837*(W116^2)+1.7072*W116-0.0091)&lt;0,0,(0.0304*(W116^5)-0.2619*(W116^4)+0.9161*(W116^3)-1.6837*(W116^2)+1.7072*W116-0.0091))),IF((0.0239*(W116^5)-0.2058*(W116^4)+0.7198*(W116^3)-1.3229*(W116^2)+1.3414*W116-0.0072)&gt;0.65,0.65,IF((0.0239*(W116^5)-0.2058*(W116^4)+0.7198*(W116^3)-1.3229*(W116^2)+1.3414*W116-0.0072)&lt;0,0,(0.0239*(W116^5)-0.2058*(W116^4)+0.7198*(W116^3)-1.3229*(W116^2)+1.3414*W116-0.0072))))</f>
        <v>0</v>
      </c>
      <c r="AE116" s="139">
        <f t="shared" ref="AE116:AE125" si="35">R116*AD116</f>
        <v>0</v>
      </c>
      <c r="AF116" s="516">
        <f t="shared" ref="AF116:AF125" si="36">MAX(Y116,AA116,AC116,AE116)</f>
        <v>10.153129486264636</v>
      </c>
      <c r="AG116" s="641">
        <f>IF(ISNA(VLOOKUP(K116,'Efficiency Lookup'!$D$2:$G$35,3,FALSE)),0,VLOOKUP(K116,'Efficiency Lookup'!$D$2:$G$35,3,FALSE))</f>
        <v>0.7</v>
      </c>
      <c r="AH116" s="1005">
        <f t="shared" ref="AH116:AH125" si="37">S116*AG116</f>
        <v>91.473297799601326</v>
      </c>
      <c r="AI116" s="637">
        <f t="shared" ref="AI116:AI125" si="38">IF(U116="RR",IF((0.0308*(W116^5)-0.2562*(W116^4)+0.8634*(W116^3)-1.5285*(W116^2)+1.501*W116-0.013)&gt;0.7,0.7,IF((0.0308*(W116^5)-0.2562*(W116^4)+0.8634*(W116^3)-1.5285*(W116^2)+1.501*W116-0.013)&lt;0,0,(0.0308*(W116^5)-0.2562*(W116^4)+0.8634*(W116^3)-1.5285*(W116^2)+1.501*W116-0.013))),IF((0.0152*(W116^5)-0.131*(W116^4)+0.4581*(W116^3)-0.8418*(W116^2)+0.8536*W116-0.0046)&gt;0.65,0.65,IF((0.0152*(W116^5)-0.131*(W116^4)+0.4581*(W116^3)-0.8418*(W116^2)+0.8536*W116-0.0046)&lt;0,0,(0.0152*(W116^5)-0.131*(W116^4)+0.4581*(W116^3)-0.8418*(W116^2)+0.8536*W116-0.0046))))</f>
        <v>0</v>
      </c>
      <c r="AJ116" s="139">
        <f t="shared" ref="AJ116:AJ125" si="39">S116*AI116</f>
        <v>0</v>
      </c>
      <c r="AK116" s="416">
        <f t="shared" si="23"/>
        <v>91.473297799601326</v>
      </c>
      <c r="AL116" s="641">
        <f>IF(ISNA(VLOOKUP(K116,'Efficiency Lookup'!$D$2:$G$35,4,FALSE)),0,VLOOKUP(K116,'Efficiency Lookup'!$D$2:$G$35,4,FALSE))</f>
        <v>0.8</v>
      </c>
      <c r="AM116" s="1005">
        <f t="shared" ref="AM116:AM125" si="40">T116*AL116</f>
        <v>5069.1325421774536</v>
      </c>
      <c r="AN116" s="637">
        <f t="shared" ref="AN116:AN125" si="41">IF(U116="RR",IF((0.0326*(W116^5)-0.2806*(W116^4)+0.9816*(W116^3)-1.8039*(W116^2)+1.8292*W116-0.0098)&gt;0.85,0.85,IF((0.0326*(W116^5)-0.2806*(W116^4)+0.9816*(W116^3)-1.8039*(W116^2)+1.8292*W116-0.0098)&lt;0,0,(0.0326*(W116^5)-0.2806*(W116^4)+0.9816*(W116^3)-1.8039*(W116^2)+1.8292*W116-0.0098))),IF((0.0304*(W116^5)-0.2619*(W116^4)+0.9161*(W116^3)-1.6837*(W116^2)+1.7072*W116-0.0091)&gt;0.8,0.8,IF((0.0304*(W116^5)-0.2619*(W116^4)+0.9161*(W116^3)-1.6837*(W116^2)+1.7072*W116-0.0091)&lt;0,0,(0.0304*(W116^5)-0.2619*(W116^4)+0.9161*(W116^3)-1.6837*(W116^2)+1.7072*W116-0.0091))))</f>
        <v>0</v>
      </c>
      <c r="AO116" s="139">
        <f t="shared" ref="AO116:AO125" si="42">T116*AN116</f>
        <v>0</v>
      </c>
      <c r="AP116" s="647">
        <f t="shared" ref="AP116:AP125" si="43">IF(AK116=AH116,AM116,AO116)</f>
        <v>5069.1325421774536</v>
      </c>
      <c r="AQ116" s="793">
        <f t="shared" ref="AQ116:AQ125" si="44">IF(AF116&lt;0,0,AF116)</f>
        <v>10.153129486264636</v>
      </c>
      <c r="AR116" s="789">
        <f t="shared" ref="AR116:AR125" si="45">IF(AK116&lt;0,0,AK116)</f>
        <v>91.473297799601326</v>
      </c>
      <c r="AS116" s="790">
        <f t="shared" ref="AS116:AS125" si="46">IF(AP116&lt;0,0,AP116)</f>
        <v>5069.1325421774536</v>
      </c>
    </row>
    <row r="117" spans="1:45" ht="30" x14ac:dyDescent="0.25">
      <c r="A117" s="261"/>
      <c r="B117" s="510">
        <v>38.129409000000003</v>
      </c>
      <c r="C117" s="510">
        <v>-78.442031999999998</v>
      </c>
      <c r="D117" s="510" t="s">
        <v>296</v>
      </c>
      <c r="E117" s="714">
        <v>380.03</v>
      </c>
      <c r="F117" s="669">
        <v>41289</v>
      </c>
      <c r="G117" s="510" t="s">
        <v>289</v>
      </c>
      <c r="H117" s="511" t="s">
        <v>679</v>
      </c>
      <c r="I117" s="511" t="str">
        <f>IF(G117="","",IF(G117="Proprietary","Filterra","Clearinghouse Not Used"))</f>
        <v>Filterra</v>
      </c>
      <c r="J117" s="511" t="s">
        <v>411</v>
      </c>
      <c r="K117" s="511" t="s">
        <v>662</v>
      </c>
      <c r="L117" s="261"/>
      <c r="M117" s="514">
        <f t="shared" si="25"/>
        <v>0.17649614918968201</v>
      </c>
      <c r="N117" s="672">
        <v>0.169997003506068</v>
      </c>
      <c r="O117" s="514">
        <v>6.4991456836140001E-3</v>
      </c>
      <c r="P117" s="514">
        <v>0</v>
      </c>
      <c r="Q117" s="673">
        <f t="shared" si="26"/>
        <v>0.96317684145828408</v>
      </c>
      <c r="R117" s="674">
        <f t="shared" si="27"/>
        <v>0.30244429901248665</v>
      </c>
      <c r="S117" s="674">
        <f t="shared" si="28"/>
        <v>2.8609158792118587</v>
      </c>
      <c r="T117" s="674">
        <f t="shared" si="29"/>
        <v>137.16350423985477</v>
      </c>
      <c r="U117" s="1022" t="s">
        <v>278</v>
      </c>
      <c r="V117" s="514">
        <v>53.1</v>
      </c>
      <c r="W117" s="675">
        <f t="shared" si="30"/>
        <v>8.6049158937272524E-2</v>
      </c>
      <c r="X117" s="636">
        <f t="shared" si="22"/>
        <v>0.5</v>
      </c>
      <c r="Y117" s="706">
        <f t="shared" si="31"/>
        <v>0.15122214950624333</v>
      </c>
      <c r="Z117" s="635">
        <f>IF(ISNA(VLOOKUP(J117,'Efficiency Lookup'!$B$2:$C$38,2,FALSE)),0,(VLOOKUP(J117,'Efficiency Lookup'!$B$2:$C$38,2,FALSE)))</f>
        <v>0</v>
      </c>
      <c r="AA117" s="139">
        <f t="shared" si="32"/>
        <v>0</v>
      </c>
      <c r="AB117" s="635">
        <f>IF(ISNA(VLOOKUP(K117,'Efficiency Lookup'!$D$2:$E$35,2,FALSE)),0,VLOOKUP(K117,'Efficiency Lookup'!$D$2:$E$35,2,FALSE))</f>
        <v>0</v>
      </c>
      <c r="AC117" s="139">
        <f t="shared" si="33"/>
        <v>0</v>
      </c>
      <c r="AD117" s="637">
        <f t="shared" si="34"/>
        <v>9.8878432871250463E-2</v>
      </c>
      <c r="AE117" s="139">
        <f t="shared" si="35"/>
        <v>2.9905218317198563E-2</v>
      </c>
      <c r="AF117" s="516">
        <f t="shared" si="36"/>
        <v>0.15122214950624333</v>
      </c>
      <c r="AG117" s="634">
        <f>IF(ISNA(VLOOKUP(K117,'Efficiency Lookup'!$D$2:$G$35,3,FALSE)),0,VLOOKUP(K117,'Efficiency Lookup'!$D$2:$G$35,3,FALSE))</f>
        <v>0</v>
      </c>
      <c r="AH117" s="139">
        <f t="shared" si="37"/>
        <v>0</v>
      </c>
      <c r="AI117" s="521">
        <f t="shared" si="38"/>
        <v>6.2903256242486633E-2</v>
      </c>
      <c r="AJ117" s="1005">
        <f t="shared" si="39"/>
        <v>0.17996092463826249</v>
      </c>
      <c r="AK117" s="416">
        <f t="shared" si="23"/>
        <v>0.17996092463826249</v>
      </c>
      <c r="AL117" s="634">
        <f>IF(ISNA(VLOOKUP(K117,'Efficiency Lookup'!$D$2:$G$35,4,FALSE)),0,VLOOKUP(K117,'Efficiency Lookup'!$D$2:$G$35,4,FALSE))</f>
        <v>0</v>
      </c>
      <c r="AM117" s="139">
        <f t="shared" si="40"/>
        <v>0</v>
      </c>
      <c r="AN117" s="521">
        <f t="shared" si="41"/>
        <v>0.12590571380706111</v>
      </c>
      <c r="AO117" s="1005">
        <f t="shared" si="42"/>
        <v>17.269668909596771</v>
      </c>
      <c r="AP117" s="647">
        <f t="shared" si="43"/>
        <v>17.269668909596771</v>
      </c>
      <c r="AQ117" s="789">
        <f t="shared" si="44"/>
        <v>0.15122214950624333</v>
      </c>
      <c r="AR117" s="789">
        <f t="shared" si="45"/>
        <v>0.17996092463826249</v>
      </c>
      <c r="AS117" s="790">
        <f t="shared" si="46"/>
        <v>17.269668909596771</v>
      </c>
    </row>
    <row r="118" spans="1:45" ht="30" x14ac:dyDescent="0.25">
      <c r="A118" s="261"/>
      <c r="B118" s="510">
        <v>38.128695</v>
      </c>
      <c r="C118" s="510">
        <v>-78.441688999999997</v>
      </c>
      <c r="D118" s="510" t="s">
        <v>296</v>
      </c>
      <c r="E118" s="714">
        <v>380.04</v>
      </c>
      <c r="F118" s="669">
        <v>41289</v>
      </c>
      <c r="G118" s="510" t="s">
        <v>289</v>
      </c>
      <c r="H118" s="511" t="s">
        <v>679</v>
      </c>
      <c r="I118" s="511" t="str">
        <f>IF(G118="","",IF(G118="Proprietary","Filterra","Clearinghouse Not Used"))</f>
        <v>Filterra</v>
      </c>
      <c r="J118" s="511" t="s">
        <v>411</v>
      </c>
      <c r="K118" s="511" t="s">
        <v>662</v>
      </c>
      <c r="L118" s="261"/>
      <c r="M118" s="514">
        <f t="shared" si="25"/>
        <v>0.64099670586296598</v>
      </c>
      <c r="N118" s="672">
        <v>0.63916410891001096</v>
      </c>
      <c r="O118" s="514">
        <v>1.832596952955E-3</v>
      </c>
      <c r="P118" s="514">
        <v>0</v>
      </c>
      <c r="Q118" s="673">
        <f t="shared" si="26"/>
        <v>0.99714101970229663</v>
      </c>
      <c r="R118" s="674">
        <f t="shared" si="27"/>
        <v>1.1258451301580967</v>
      </c>
      <c r="S118" s="674">
        <f t="shared" si="28"/>
        <v>10.491041118143201</v>
      </c>
      <c r="T118" s="674">
        <f t="shared" si="29"/>
        <v>498.66482454771977</v>
      </c>
      <c r="U118" s="1022" t="s">
        <v>278</v>
      </c>
      <c r="V118" s="514">
        <v>53.1</v>
      </c>
      <c r="W118" s="675">
        <f t="shared" si="30"/>
        <v>2.2886296288600328E-2</v>
      </c>
      <c r="X118" s="636">
        <f t="shared" si="22"/>
        <v>0.5</v>
      </c>
      <c r="Y118" s="706">
        <f t="shared" si="31"/>
        <v>0.56292256507904836</v>
      </c>
      <c r="Z118" s="635">
        <f>IF(ISNA(VLOOKUP(J118,'Efficiency Lookup'!$B$2:$C$38,2,FALSE)),0,(VLOOKUP(J118,'Efficiency Lookup'!$B$2:$C$38,2,FALSE)))</f>
        <v>0</v>
      </c>
      <c r="AA118" s="139">
        <f t="shared" si="32"/>
        <v>0</v>
      </c>
      <c r="AB118" s="635">
        <f>IF(ISNA(VLOOKUP(K118,'Efficiency Lookup'!$D$2:$E$35,2,FALSE)),0,VLOOKUP(K118,'Efficiency Lookup'!$D$2:$E$35,2,FALSE))</f>
        <v>0</v>
      </c>
      <c r="AC118" s="139">
        <f t="shared" si="33"/>
        <v>0</v>
      </c>
      <c r="AD118" s="637">
        <f t="shared" si="34"/>
        <v>2.2815338146346648E-2</v>
      </c>
      <c r="AE118" s="139">
        <f t="shared" si="35"/>
        <v>2.5686537344974631E-2</v>
      </c>
      <c r="AF118" s="516">
        <f t="shared" si="36"/>
        <v>0.56292256507904836</v>
      </c>
      <c r="AG118" s="634">
        <f>IF(ISNA(VLOOKUP(K118,'Efficiency Lookup'!$D$2:$G$35,3,FALSE)),0,VLOOKUP(K118,'Efficiency Lookup'!$D$2:$G$35,3,FALSE))</f>
        <v>0</v>
      </c>
      <c r="AH118" s="139">
        <f t="shared" si="37"/>
        <v>0</v>
      </c>
      <c r="AI118" s="521">
        <f t="shared" si="38"/>
        <v>1.4500277958163818E-2</v>
      </c>
      <c r="AJ118" s="1005">
        <f t="shared" si="39"/>
        <v>0.15212301228360214</v>
      </c>
      <c r="AK118" s="416">
        <f t="shared" si="23"/>
        <v>0.15212301228360214</v>
      </c>
      <c r="AL118" s="634">
        <f>IF(ISNA(VLOOKUP(K118,'Efficiency Lookup'!$D$2:$G$35,4,FALSE)),0,VLOOKUP(K118,'Efficiency Lookup'!$D$2:$G$35,4,FALSE))</f>
        <v>0</v>
      </c>
      <c r="AM118" s="139">
        <f t="shared" si="40"/>
        <v>0</v>
      </c>
      <c r="AN118" s="521">
        <f t="shared" si="41"/>
        <v>2.9100502366762395E-2</v>
      </c>
      <c r="AO118" s="1005">
        <f t="shared" si="42"/>
        <v>14.511396906972074</v>
      </c>
      <c r="AP118" s="647">
        <f t="shared" si="43"/>
        <v>14.511396906972074</v>
      </c>
      <c r="AQ118" s="789">
        <f t="shared" si="44"/>
        <v>0.56292256507904836</v>
      </c>
      <c r="AR118" s="789">
        <f t="shared" si="45"/>
        <v>0.15212301228360214</v>
      </c>
      <c r="AS118" s="790">
        <f t="shared" si="46"/>
        <v>14.511396906972074</v>
      </c>
    </row>
    <row r="119" spans="1:45" ht="30" x14ac:dyDescent="0.25">
      <c r="A119" s="261"/>
      <c r="B119" s="510">
        <v>38.128230000000002</v>
      </c>
      <c r="C119" s="510">
        <v>-78.442238500000002</v>
      </c>
      <c r="D119" s="510" t="s">
        <v>296</v>
      </c>
      <c r="E119" s="714" t="s">
        <v>680</v>
      </c>
      <c r="F119" s="669">
        <v>41289</v>
      </c>
      <c r="G119" s="510" t="s">
        <v>289</v>
      </c>
      <c r="H119" s="511" t="s">
        <v>681</v>
      </c>
      <c r="I119" s="511" t="str">
        <f>IF(G119="","",IF(G119="Proprietary","Filterra","Clearinghouse Not Used"))</f>
        <v>Filterra</v>
      </c>
      <c r="J119" s="511" t="s">
        <v>411</v>
      </c>
      <c r="K119" s="511" t="s">
        <v>662</v>
      </c>
      <c r="L119" s="261"/>
      <c r="M119" s="514">
        <f t="shared" si="25"/>
        <v>1.919152447029103</v>
      </c>
      <c r="N119" s="672">
        <v>1.8419429581469999</v>
      </c>
      <c r="O119" s="514">
        <v>7.7209488882102995E-2</v>
      </c>
      <c r="P119" s="514">
        <v>0</v>
      </c>
      <c r="Q119" s="673">
        <f t="shared" si="26"/>
        <v>0.95976896520043242</v>
      </c>
      <c r="R119" s="674">
        <f t="shared" si="27"/>
        <v>3.280424350779771</v>
      </c>
      <c r="S119" s="674">
        <f t="shared" si="28"/>
        <v>31.078237148812573</v>
      </c>
      <c r="T119" s="674">
        <f t="shared" si="29"/>
        <v>1491.309121951077</v>
      </c>
      <c r="U119" s="1022" t="s">
        <v>278</v>
      </c>
      <c r="V119" s="514">
        <v>106.2</v>
      </c>
      <c r="W119" s="675">
        <f t="shared" si="30"/>
        <v>1.5883335701415674E-2</v>
      </c>
      <c r="X119" s="636">
        <f t="shared" si="22"/>
        <v>0.5</v>
      </c>
      <c r="Y119" s="706">
        <f t="shared" si="31"/>
        <v>1.6402121753898855</v>
      </c>
      <c r="Z119" s="635">
        <f>IF(ISNA(VLOOKUP(J119,'Efficiency Lookup'!$B$2:$C$38,2,FALSE)),0,(VLOOKUP(J119,'Efficiency Lookup'!$B$2:$C$38,2,FALSE)))</f>
        <v>0</v>
      </c>
      <c r="AA119" s="139">
        <f t="shared" si="32"/>
        <v>0</v>
      </c>
      <c r="AB119" s="635">
        <f>IF(ISNA(VLOOKUP(K119,'Efficiency Lookup'!$D$2:$E$35,2,FALSE)),0,VLOOKUP(K119,'Efficiency Lookup'!$D$2:$E$35,2,FALSE))</f>
        <v>0</v>
      </c>
      <c r="AC119" s="139">
        <f t="shared" si="33"/>
        <v>0</v>
      </c>
      <c r="AD119" s="637">
        <f t="shared" si="34"/>
        <v>1.3775036033968601E-2</v>
      </c>
      <c r="AE119" s="139">
        <f t="shared" si="35"/>
        <v>4.5187963638699404E-2</v>
      </c>
      <c r="AF119" s="516">
        <f t="shared" si="36"/>
        <v>1.6402121753898855</v>
      </c>
      <c r="AG119" s="634">
        <f>IF(ISNA(VLOOKUP(K119,'Efficiency Lookup'!$D$2:$G$35,3,FALSE)),0,VLOOKUP(K119,'Efficiency Lookup'!$D$2:$G$35,3,FALSE))</f>
        <v>0</v>
      </c>
      <c r="AH119" s="139">
        <f t="shared" si="37"/>
        <v>0</v>
      </c>
      <c r="AI119" s="521">
        <f t="shared" si="38"/>
        <v>8.7474730626167247E-3</v>
      </c>
      <c r="AJ119" s="1005">
        <f t="shared" si="39"/>
        <v>0.27185604229285237</v>
      </c>
      <c r="AK119" s="416">
        <f t="shared" si="23"/>
        <v>0.27185604229285237</v>
      </c>
      <c r="AL119" s="634">
        <f>IF(ISNA(VLOOKUP(K119,'Efficiency Lookup'!$D$2:$G$35,4,FALSE)),0,VLOOKUP(K119,'Efficiency Lookup'!$D$2:$G$35,4,FALSE))</f>
        <v>0</v>
      </c>
      <c r="AM119" s="139">
        <f t="shared" si="40"/>
        <v>0</v>
      </c>
      <c r="AN119" s="521">
        <f t="shared" si="41"/>
        <v>1.7594920502857332E-2</v>
      </c>
      <c r="AO119" s="1005">
        <f t="shared" si="42"/>
        <v>26.239465445915172</v>
      </c>
      <c r="AP119" s="647">
        <f t="shared" si="43"/>
        <v>26.239465445915172</v>
      </c>
      <c r="AQ119" s="789">
        <f t="shared" si="44"/>
        <v>1.6402121753898855</v>
      </c>
      <c r="AR119" s="789">
        <f t="shared" si="45"/>
        <v>0.27185604229285237</v>
      </c>
      <c r="AS119" s="790">
        <f t="shared" si="46"/>
        <v>26.239465445915172</v>
      </c>
    </row>
    <row r="120" spans="1:45" ht="30" x14ac:dyDescent="0.25">
      <c r="A120" s="261"/>
      <c r="B120" s="510">
        <v>38.128270000000001</v>
      </c>
      <c r="C120" s="510">
        <v>-78.441294499999998</v>
      </c>
      <c r="D120" s="510" t="s">
        <v>296</v>
      </c>
      <c r="E120" s="714" t="s">
        <v>682</v>
      </c>
      <c r="F120" s="669">
        <v>41289</v>
      </c>
      <c r="G120" s="510" t="s">
        <v>289</v>
      </c>
      <c r="H120" s="511" t="s">
        <v>681</v>
      </c>
      <c r="I120" s="511" t="str">
        <f>IF(G120="","",IF(G120="Proprietary","Filterra","Clearinghouse Not Used"))</f>
        <v>Filterra</v>
      </c>
      <c r="J120" s="511" t="s">
        <v>411</v>
      </c>
      <c r="K120" s="511" t="s">
        <v>662</v>
      </c>
      <c r="L120" s="261"/>
      <c r="M120" s="514">
        <f t="shared" si="25"/>
        <v>2.4288558077219862</v>
      </c>
      <c r="N120" s="672">
        <v>2.427733685963573</v>
      </c>
      <c r="O120" s="514">
        <v>1.1221217584129999E-3</v>
      </c>
      <c r="P120" s="514">
        <v>0</v>
      </c>
      <c r="Q120" s="673">
        <f t="shared" si="26"/>
        <v>0.99953800396267012</v>
      </c>
      <c r="R120" s="674">
        <f t="shared" si="27"/>
        <v>4.2733723481750951</v>
      </c>
      <c r="S120" s="674">
        <f t="shared" si="28"/>
        <v>39.779462706744688</v>
      </c>
      <c r="T120" s="674">
        <f t="shared" si="29"/>
        <v>1889.6718012381855</v>
      </c>
      <c r="U120" s="1022" t="s">
        <v>278</v>
      </c>
      <c r="V120" s="514">
        <v>106.2</v>
      </c>
      <c r="W120" s="675">
        <f t="shared" si="30"/>
        <v>1.2050826874569476E-2</v>
      </c>
      <c r="X120" s="636">
        <f t="shared" si="22"/>
        <v>0.5</v>
      </c>
      <c r="Y120" s="706">
        <f t="shared" si="31"/>
        <v>2.1366861740875476</v>
      </c>
      <c r="Z120" s="635">
        <f>IF(ISNA(VLOOKUP(J120,'Efficiency Lookup'!$B$2:$C$38,2,FALSE)),0,(VLOOKUP(J120,'Efficiency Lookup'!$B$2:$C$38,2,FALSE)))</f>
        <v>0</v>
      </c>
      <c r="AA120" s="139">
        <f t="shared" si="32"/>
        <v>0</v>
      </c>
      <c r="AB120" s="635">
        <f>IF(ISNA(VLOOKUP(K120,'Efficiency Lookup'!$D$2:$E$35,2,FALSE)),0,VLOOKUP(K120,'Efficiency Lookup'!$D$2:$E$35,2,FALSE))</f>
        <v>0</v>
      </c>
      <c r="AC120" s="139">
        <f t="shared" si="33"/>
        <v>0</v>
      </c>
      <c r="AD120" s="637">
        <f t="shared" si="34"/>
        <v>8.7741197711493999E-3</v>
      </c>
      <c r="AE120" s="139">
        <f t="shared" si="35"/>
        <v>3.7495080809606236E-2</v>
      </c>
      <c r="AF120" s="516">
        <f t="shared" si="36"/>
        <v>2.1366861740875476</v>
      </c>
      <c r="AG120" s="634">
        <f>IF(ISNA(VLOOKUP(K120,'Efficiency Lookup'!$D$2:$G$35,3,FALSE)),0,VLOOKUP(K120,'Efficiency Lookup'!$D$2:$G$35,3,FALSE))</f>
        <v>0</v>
      </c>
      <c r="AH120" s="139">
        <f t="shared" si="37"/>
        <v>0</v>
      </c>
      <c r="AI120" s="521">
        <f t="shared" si="38"/>
        <v>5.5651365191317307E-3</v>
      </c>
      <c r="AJ120" s="1005">
        <f t="shared" si="39"/>
        <v>0.22137814062074362</v>
      </c>
      <c r="AK120" s="416">
        <f t="shared" si="23"/>
        <v>0.22137814062074362</v>
      </c>
      <c r="AL120" s="634">
        <f>IF(ISNA(VLOOKUP(K120,'Efficiency Lookup'!$D$2:$G$35,4,FALSE)),0,VLOOKUP(K120,'Efficiency Lookup'!$D$2:$G$35,4,FALSE))</f>
        <v>0</v>
      </c>
      <c r="AM120" s="139">
        <f t="shared" si="40"/>
        <v>0</v>
      </c>
      <c r="AN120" s="521">
        <f t="shared" si="41"/>
        <v>1.1230258343124543E-2</v>
      </c>
      <c r="AO120" s="1005">
        <f t="shared" si="42"/>
        <v>21.221502511622315</v>
      </c>
      <c r="AP120" s="647">
        <f t="shared" si="43"/>
        <v>21.221502511622315</v>
      </c>
      <c r="AQ120" s="789">
        <f t="shared" si="44"/>
        <v>2.1366861740875476</v>
      </c>
      <c r="AR120" s="789">
        <f t="shared" si="45"/>
        <v>0.22137814062074362</v>
      </c>
      <c r="AS120" s="790">
        <f t="shared" si="46"/>
        <v>21.221502511622315</v>
      </c>
    </row>
    <row r="121" spans="1:45" x14ac:dyDescent="0.25">
      <c r="A121" s="261"/>
      <c r="B121" s="510">
        <v>38.127006999999999</v>
      </c>
      <c r="C121" s="510">
        <v>-78.441517000000005</v>
      </c>
      <c r="D121" s="510" t="s">
        <v>296</v>
      </c>
      <c r="E121" s="714">
        <v>380.09</v>
      </c>
      <c r="F121" s="669">
        <v>41289</v>
      </c>
      <c r="G121" s="510" t="s">
        <v>331</v>
      </c>
      <c r="H121" s="511"/>
      <c r="I121" s="511"/>
      <c r="J121" s="511" t="s">
        <v>367</v>
      </c>
      <c r="K121" s="511" t="s">
        <v>334</v>
      </c>
      <c r="L121" s="261"/>
      <c r="M121" s="514">
        <f t="shared" si="25"/>
        <v>0.55512219670700003</v>
      </c>
      <c r="N121" s="672">
        <v>0.44425333148399998</v>
      </c>
      <c r="O121" s="514">
        <v>0.110868865223</v>
      </c>
      <c r="P121" s="514">
        <v>0</v>
      </c>
      <c r="Q121" s="673">
        <f t="shared" si="26"/>
        <v>0.80028025202256881</v>
      </c>
      <c r="R121" s="674">
        <f t="shared" si="27"/>
        <v>0.83732029602334002</v>
      </c>
      <c r="S121" s="674">
        <f t="shared" si="28"/>
        <v>8.5795787360781706</v>
      </c>
      <c r="T121" s="674">
        <f t="shared" si="29"/>
        <v>429.26857937619508</v>
      </c>
      <c r="U121" s="1022" t="s">
        <v>285</v>
      </c>
      <c r="V121" s="514" t="s">
        <v>295</v>
      </c>
      <c r="W121" s="675">
        <f t="shared" si="30"/>
        <v>0</v>
      </c>
      <c r="X121" s="634" t="str">
        <f t="shared" si="22"/>
        <v>NA</v>
      </c>
      <c r="Y121" s="676">
        <f t="shared" si="31"/>
        <v>0</v>
      </c>
      <c r="Z121" s="635">
        <f>IF(ISNA(VLOOKUP(J121,'Efficiency Lookup'!$B$2:$C$38,2,FALSE)),0,(VLOOKUP(J121,'Efficiency Lookup'!$B$2:$C$38,2,FALSE)))</f>
        <v>0.35</v>
      </c>
      <c r="AA121" s="139">
        <f t="shared" si="32"/>
        <v>0.29306210360816898</v>
      </c>
      <c r="AB121" s="1061">
        <f>IF(ISNA(VLOOKUP(K121,'Efficiency Lookup'!$D$2:$E$35,2,FALSE)),0,VLOOKUP(K121,'Efficiency Lookup'!$D$2:$E$35,2,FALSE))</f>
        <v>0.75</v>
      </c>
      <c r="AC121" s="1005">
        <f t="shared" si="33"/>
        <v>0.62799022201750498</v>
      </c>
      <c r="AD121" s="637">
        <f t="shared" si="34"/>
        <v>0</v>
      </c>
      <c r="AE121" s="139">
        <f t="shared" si="35"/>
        <v>0</v>
      </c>
      <c r="AF121" s="516">
        <f t="shared" si="36"/>
        <v>0.62799022201750498</v>
      </c>
      <c r="AG121" s="641">
        <f>IF(ISNA(VLOOKUP(K121,'Efficiency Lookup'!$D$2:$G$35,3,FALSE)),0,VLOOKUP(K121,'Efficiency Lookup'!$D$2:$G$35,3,FALSE))</f>
        <v>0.7</v>
      </c>
      <c r="AH121" s="1005">
        <f t="shared" si="37"/>
        <v>6.0057051152547194</v>
      </c>
      <c r="AI121" s="637">
        <f t="shared" si="38"/>
        <v>0</v>
      </c>
      <c r="AJ121" s="139">
        <f t="shared" si="39"/>
        <v>0</v>
      </c>
      <c r="AK121" s="416">
        <f t="shared" si="23"/>
        <v>6.0057051152547194</v>
      </c>
      <c r="AL121" s="641">
        <f>IF(ISNA(VLOOKUP(K121,'Efficiency Lookup'!$D$2:$G$35,4,FALSE)),0,VLOOKUP(K121,'Efficiency Lookup'!$D$2:$G$35,4,FALSE))</f>
        <v>0.8</v>
      </c>
      <c r="AM121" s="1005">
        <f t="shared" si="40"/>
        <v>343.41486350095607</v>
      </c>
      <c r="AN121" s="637">
        <f t="shared" si="41"/>
        <v>0</v>
      </c>
      <c r="AO121" s="139">
        <f t="shared" si="42"/>
        <v>0</v>
      </c>
      <c r="AP121" s="647">
        <f t="shared" si="43"/>
        <v>343.41486350095607</v>
      </c>
      <c r="AQ121" s="789">
        <f t="shared" si="44"/>
        <v>0.62799022201750498</v>
      </c>
      <c r="AR121" s="789">
        <f t="shared" si="45"/>
        <v>6.0057051152547194</v>
      </c>
      <c r="AS121" s="790">
        <f t="shared" si="46"/>
        <v>343.41486350095607</v>
      </c>
    </row>
    <row r="122" spans="1:45" ht="30" x14ac:dyDescent="0.25">
      <c r="A122" s="261"/>
      <c r="B122" s="510">
        <v>38.126584999999999</v>
      </c>
      <c r="C122" s="510">
        <v>-78.442044999999993</v>
      </c>
      <c r="D122" s="510" t="s">
        <v>296</v>
      </c>
      <c r="E122" s="714">
        <v>380.1</v>
      </c>
      <c r="F122" s="669">
        <v>41289</v>
      </c>
      <c r="G122" s="510" t="s">
        <v>289</v>
      </c>
      <c r="H122" s="511" t="s">
        <v>681</v>
      </c>
      <c r="I122" s="511" t="str">
        <f>IF(G122="","",IF(G122="Proprietary","Filterra","Clearinghouse Not Used"))</f>
        <v>Filterra</v>
      </c>
      <c r="J122" s="511" t="s">
        <v>411</v>
      </c>
      <c r="K122" s="511" t="s">
        <v>662</v>
      </c>
      <c r="L122" s="261"/>
      <c r="M122" s="514">
        <f t="shared" si="25"/>
        <v>0.54335544643463207</v>
      </c>
      <c r="N122" s="672">
        <v>0.52376470469818104</v>
      </c>
      <c r="O122" s="514">
        <v>1.9590741736450999E-2</v>
      </c>
      <c r="P122" s="514">
        <v>0</v>
      </c>
      <c r="Q122" s="673">
        <f t="shared" si="26"/>
        <v>0.96394488752252183</v>
      </c>
      <c r="R122" s="674">
        <f t="shared" si="27"/>
        <v>0.9316212511370241</v>
      </c>
      <c r="S122" s="674">
        <f t="shared" si="28"/>
        <v>8.8094570783595056</v>
      </c>
      <c r="T122" s="674">
        <f t="shared" si="29"/>
        <v>422.2771038559186</v>
      </c>
      <c r="U122" s="1022" t="s">
        <v>278</v>
      </c>
      <c r="V122" s="514">
        <v>106.2</v>
      </c>
      <c r="W122" s="675">
        <f t="shared" si="30"/>
        <v>5.585752167849168E-2</v>
      </c>
      <c r="X122" s="636">
        <f t="shared" si="22"/>
        <v>0.5</v>
      </c>
      <c r="Y122" s="706">
        <f t="shared" si="31"/>
        <v>0.46581062556851205</v>
      </c>
      <c r="Z122" s="635">
        <f>IF(ISNA(VLOOKUP(J122,'Efficiency Lookup'!$B$2:$C$38,2,FALSE)),0,(VLOOKUP(J122,'Efficiency Lookup'!$B$2:$C$38,2,FALSE)))</f>
        <v>0</v>
      </c>
      <c r="AA122" s="139">
        <f t="shared" si="32"/>
        <v>0</v>
      </c>
      <c r="AB122" s="635">
        <f>IF(ISNA(VLOOKUP(K122,'Efficiency Lookup'!$D$2:$E$35,2,FALSE)),0,VLOOKUP(K122,'Efficiency Lookup'!$D$2:$E$35,2,FALSE))</f>
        <v>0</v>
      </c>
      <c r="AC122" s="139">
        <f t="shared" si="33"/>
        <v>0</v>
      </c>
      <c r="AD122" s="637">
        <f t="shared" si="34"/>
        <v>6.3723204176058756E-2</v>
      </c>
      <c r="AE122" s="139">
        <f t="shared" si="35"/>
        <v>5.9365891200959899E-2</v>
      </c>
      <c r="AF122" s="516">
        <f t="shared" si="36"/>
        <v>0.46581062556851205</v>
      </c>
      <c r="AG122" s="634">
        <f>IF(ISNA(VLOOKUP(K122,'Efficiency Lookup'!$D$2:$G$35,3,FALSE)),0,VLOOKUP(K122,'Efficiency Lookup'!$D$2:$G$35,3,FALSE))</f>
        <v>0</v>
      </c>
      <c r="AH122" s="139">
        <f t="shared" si="37"/>
        <v>0</v>
      </c>
      <c r="AI122" s="521">
        <f t="shared" si="38"/>
        <v>4.053208190460298E-2</v>
      </c>
      <c r="AJ122" s="1005">
        <f t="shared" si="39"/>
        <v>0.35706563583515194</v>
      </c>
      <c r="AK122" s="416">
        <f t="shared" si="23"/>
        <v>0.35706563583515194</v>
      </c>
      <c r="AL122" s="634">
        <f>IF(ISNA(VLOOKUP(K122,'Efficiency Lookup'!$D$2:$G$35,4,FALSE)),0,VLOOKUP(K122,'Efficiency Lookup'!$D$2:$G$35,4,FALSE))</f>
        <v>0</v>
      </c>
      <c r="AM122" s="139">
        <f t="shared" si="40"/>
        <v>0</v>
      </c>
      <c r="AN122" s="521">
        <f t="shared" si="41"/>
        <v>8.1163835348515151E-2</v>
      </c>
      <c r="AO122" s="1005">
        <f t="shared" si="42"/>
        <v>34.273629328809612</v>
      </c>
      <c r="AP122" s="647">
        <f t="shared" si="43"/>
        <v>34.273629328809612</v>
      </c>
      <c r="AQ122" s="789">
        <f t="shared" si="44"/>
        <v>0.46581062556851205</v>
      </c>
      <c r="AR122" s="789">
        <f t="shared" si="45"/>
        <v>0.35706563583515194</v>
      </c>
      <c r="AS122" s="790">
        <f t="shared" si="46"/>
        <v>34.273629328809612</v>
      </c>
    </row>
    <row r="123" spans="1:45" ht="30" x14ac:dyDescent="0.25">
      <c r="A123" s="261"/>
      <c r="B123" s="510">
        <v>38.126466000000001</v>
      </c>
      <c r="C123" s="510">
        <v>-78.443224000000001</v>
      </c>
      <c r="D123" s="510" t="s">
        <v>296</v>
      </c>
      <c r="E123" s="714">
        <v>380.11</v>
      </c>
      <c r="F123" s="669">
        <v>41289</v>
      </c>
      <c r="G123" s="510" t="s">
        <v>289</v>
      </c>
      <c r="H123" s="511" t="s">
        <v>681</v>
      </c>
      <c r="I123" s="511" t="str">
        <f>IF(G123="","",IF(G123="Proprietary","Filterra","Clearinghouse Not Used"))</f>
        <v>Filterra</v>
      </c>
      <c r="J123" s="511" t="s">
        <v>411</v>
      </c>
      <c r="K123" s="511" t="s">
        <v>662</v>
      </c>
      <c r="L123" s="261"/>
      <c r="M123" s="514">
        <f t="shared" si="25"/>
        <v>0.35095496503511003</v>
      </c>
      <c r="N123" s="672">
        <v>0.34350455768199001</v>
      </c>
      <c r="O123" s="514">
        <v>7.4504073531200003E-3</v>
      </c>
      <c r="P123" s="514">
        <v>0</v>
      </c>
      <c r="Q123" s="673">
        <f t="shared" si="26"/>
        <v>0.97877104444903729</v>
      </c>
      <c r="R123" s="674">
        <f t="shared" si="27"/>
        <v>0.60829322519686246</v>
      </c>
      <c r="S123" s="674">
        <f t="shared" si="28"/>
        <v>5.7141469412301573</v>
      </c>
      <c r="T123" s="674">
        <f t="shared" si="29"/>
        <v>272.87340724234735</v>
      </c>
      <c r="U123" s="1022" t="s">
        <v>278</v>
      </c>
      <c r="V123" s="514">
        <v>106.2</v>
      </c>
      <c r="W123" s="675">
        <f t="shared" si="30"/>
        <v>8.5169753043545557E-2</v>
      </c>
      <c r="X123" s="636">
        <f t="shared" si="22"/>
        <v>0.5</v>
      </c>
      <c r="Y123" s="706">
        <f t="shared" si="31"/>
        <v>0.30414661259843123</v>
      </c>
      <c r="Z123" s="635">
        <f>IF(ISNA(VLOOKUP(J123,'Efficiency Lookup'!$B$2:$C$38,2,FALSE)),0,(VLOOKUP(J123,'Efficiency Lookup'!$B$2:$C$38,2,FALSE)))</f>
        <v>0</v>
      </c>
      <c r="AA123" s="139">
        <f t="shared" si="32"/>
        <v>0</v>
      </c>
      <c r="AB123" s="635">
        <f>IF(ISNA(VLOOKUP(K123,'Efficiency Lookup'!$D$2:$E$35,2,FALSE)),0,VLOOKUP(K123,'Efficiency Lookup'!$D$2:$E$35,2,FALSE))</f>
        <v>0</v>
      </c>
      <c r="AC123" s="139">
        <f t="shared" si="33"/>
        <v>0</v>
      </c>
      <c r="AD123" s="637">
        <f t="shared" si="34"/>
        <v>9.7884518882795354E-2</v>
      </c>
      <c r="AE123" s="139">
        <f t="shared" si="35"/>
        <v>5.9542489688058774E-2</v>
      </c>
      <c r="AF123" s="516">
        <f t="shared" si="36"/>
        <v>0.30414661259843123</v>
      </c>
      <c r="AG123" s="634">
        <f>IF(ISNA(VLOOKUP(K123,'Efficiency Lookup'!$D$2:$G$35,3,FALSE)),0,VLOOKUP(K123,'Efficiency Lookup'!$D$2:$G$35,3,FALSE))</f>
        <v>0</v>
      </c>
      <c r="AH123" s="139">
        <f t="shared" si="37"/>
        <v>0</v>
      </c>
      <c r="AI123" s="521">
        <f t="shared" si="38"/>
        <v>6.2270773871140668E-2</v>
      </c>
      <c r="AJ123" s="1005">
        <f t="shared" si="39"/>
        <v>0.35582435204381324</v>
      </c>
      <c r="AK123" s="416">
        <f t="shared" si="23"/>
        <v>0.35582435204381324</v>
      </c>
      <c r="AL123" s="634">
        <f>IF(ISNA(VLOOKUP(K123,'Efficiency Lookup'!$D$2:$G$35,4,FALSE)),0,VLOOKUP(K123,'Efficiency Lookup'!$D$2:$G$35,4,FALSE))</f>
        <v>0</v>
      </c>
      <c r="AM123" s="139">
        <f t="shared" si="40"/>
        <v>0</v>
      </c>
      <c r="AN123" s="521">
        <f t="shared" si="41"/>
        <v>0.12464076583431039</v>
      </c>
      <c r="AO123" s="1005">
        <f t="shared" si="42"/>
        <v>34.011150454503834</v>
      </c>
      <c r="AP123" s="647">
        <f t="shared" si="43"/>
        <v>34.011150454503834</v>
      </c>
      <c r="AQ123" s="789">
        <f t="shared" si="44"/>
        <v>0.30414661259843123</v>
      </c>
      <c r="AR123" s="789">
        <f t="shared" si="45"/>
        <v>0.35582435204381324</v>
      </c>
      <c r="AS123" s="790">
        <f t="shared" si="46"/>
        <v>34.011150454503834</v>
      </c>
    </row>
    <row r="124" spans="1:45" ht="15" customHeight="1" x14ac:dyDescent="0.25">
      <c r="A124" s="261"/>
      <c r="B124" s="510">
        <v>38.126764000000001</v>
      </c>
      <c r="C124" s="510">
        <v>-78.443087000000006</v>
      </c>
      <c r="D124" s="510" t="s">
        <v>296</v>
      </c>
      <c r="E124" s="714">
        <v>380.12</v>
      </c>
      <c r="F124" s="669">
        <v>41289</v>
      </c>
      <c r="G124" s="510" t="s">
        <v>331</v>
      </c>
      <c r="H124" s="511"/>
      <c r="I124" s="511"/>
      <c r="J124" s="511" t="s">
        <v>367</v>
      </c>
      <c r="K124" s="511" t="s">
        <v>334</v>
      </c>
      <c r="L124" s="261"/>
      <c r="M124" s="514">
        <f t="shared" si="25"/>
        <v>0.40555689716648902</v>
      </c>
      <c r="N124" s="672">
        <v>0.40101943243010202</v>
      </c>
      <c r="O124" s="514">
        <v>4.5374647363870006E-3</v>
      </c>
      <c r="P124" s="514">
        <v>0</v>
      </c>
      <c r="Q124" s="673">
        <f t="shared" si="26"/>
        <v>0.98881176779857771</v>
      </c>
      <c r="R124" s="674">
        <f t="shared" si="27"/>
        <v>0.70806293344517302</v>
      </c>
      <c r="S124" s="674">
        <f t="shared" si="28"/>
        <v>6.6220135138576186</v>
      </c>
      <c r="T124" s="674">
        <f t="shared" si="29"/>
        <v>315.42383921921942</v>
      </c>
      <c r="U124" s="1022" t="s">
        <v>285</v>
      </c>
      <c r="V124" s="514" t="s">
        <v>295</v>
      </c>
      <c r="W124" s="675">
        <f t="shared" si="30"/>
        <v>0</v>
      </c>
      <c r="X124" s="634" t="str">
        <f t="shared" si="22"/>
        <v>NA</v>
      </c>
      <c r="Y124" s="676">
        <f t="shared" si="31"/>
        <v>0</v>
      </c>
      <c r="Z124" s="635">
        <f>IF(ISNA(VLOOKUP(J124,'Efficiency Lookup'!$B$2:$C$38,2,FALSE)),0,(VLOOKUP(J124,'Efficiency Lookup'!$B$2:$C$38,2,FALSE)))</f>
        <v>0.35</v>
      </c>
      <c r="AA124" s="139">
        <f t="shared" si="32"/>
        <v>0.24782202670581055</v>
      </c>
      <c r="AB124" s="1061">
        <f>IF(ISNA(VLOOKUP(K124,'Efficiency Lookup'!$D$2:$E$35,2,FALSE)),0,VLOOKUP(K124,'Efficiency Lookup'!$D$2:$E$35,2,FALSE))</f>
        <v>0.75</v>
      </c>
      <c r="AC124" s="1005">
        <f t="shared" si="33"/>
        <v>0.53104720008387973</v>
      </c>
      <c r="AD124" s="637">
        <f t="shared" si="34"/>
        <v>0</v>
      </c>
      <c r="AE124" s="139">
        <f t="shared" si="35"/>
        <v>0</v>
      </c>
      <c r="AF124" s="516">
        <f t="shared" si="36"/>
        <v>0.53104720008387973</v>
      </c>
      <c r="AG124" s="641">
        <f>IF(ISNA(VLOOKUP(K124,'Efficiency Lookup'!$D$2:$G$35,3,FALSE)),0,VLOOKUP(K124,'Efficiency Lookup'!$D$2:$G$35,3,FALSE))</f>
        <v>0.7</v>
      </c>
      <c r="AH124" s="1005">
        <f t="shared" si="37"/>
        <v>4.635409459700333</v>
      </c>
      <c r="AI124" s="637">
        <f t="shared" si="38"/>
        <v>0</v>
      </c>
      <c r="AJ124" s="139">
        <f t="shared" si="39"/>
        <v>0</v>
      </c>
      <c r="AK124" s="416">
        <f t="shared" si="23"/>
        <v>4.635409459700333</v>
      </c>
      <c r="AL124" s="641">
        <f>IF(ISNA(VLOOKUP(K124,'Efficiency Lookup'!$D$2:$G$35,4,FALSE)),0,VLOOKUP(K124,'Efficiency Lookup'!$D$2:$G$35,4,FALSE))</f>
        <v>0.8</v>
      </c>
      <c r="AM124" s="1005">
        <f t="shared" si="40"/>
        <v>252.33907137537554</v>
      </c>
      <c r="AN124" s="637">
        <f t="shared" si="41"/>
        <v>0</v>
      </c>
      <c r="AO124" s="139">
        <f t="shared" si="42"/>
        <v>0</v>
      </c>
      <c r="AP124" s="647">
        <f t="shared" si="43"/>
        <v>252.33907137537554</v>
      </c>
      <c r="AQ124" s="789">
        <f t="shared" si="44"/>
        <v>0.53104720008387973</v>
      </c>
      <c r="AR124" s="789">
        <f t="shared" si="45"/>
        <v>4.635409459700333</v>
      </c>
      <c r="AS124" s="790">
        <f t="shared" si="46"/>
        <v>252.33907137537554</v>
      </c>
    </row>
    <row r="125" spans="1:45" ht="16.899999999999999" customHeight="1" x14ac:dyDescent="0.25">
      <c r="A125" s="261"/>
      <c r="B125" s="510">
        <v>38.127043</v>
      </c>
      <c r="C125" s="510">
        <v>-78.442791999999997</v>
      </c>
      <c r="D125" s="510" t="s">
        <v>296</v>
      </c>
      <c r="E125" s="714">
        <v>380.13</v>
      </c>
      <c r="F125" s="669">
        <v>41289</v>
      </c>
      <c r="G125" s="510" t="s">
        <v>331</v>
      </c>
      <c r="H125" s="511"/>
      <c r="I125" s="511"/>
      <c r="J125" s="511" t="s">
        <v>367</v>
      </c>
      <c r="K125" s="511" t="s">
        <v>334</v>
      </c>
      <c r="L125" s="261"/>
      <c r="M125" s="514">
        <f t="shared" si="25"/>
        <v>0.42864917717777101</v>
      </c>
      <c r="N125" s="672">
        <v>0.42234467516800001</v>
      </c>
      <c r="O125" s="514">
        <v>6.304502009771E-3</v>
      </c>
      <c r="P125" s="514">
        <v>0</v>
      </c>
      <c r="Q125" s="673">
        <f t="shared" si="26"/>
        <v>0.98529216350937643</v>
      </c>
      <c r="R125" s="674">
        <f t="shared" si="27"/>
        <v>0.74647887930056545</v>
      </c>
      <c r="S125" s="674">
        <f t="shared" si="28"/>
        <v>6.99208367786665</v>
      </c>
      <c r="T125" s="674">
        <f t="shared" si="29"/>
        <v>333.34821613021791</v>
      </c>
      <c r="U125" s="1022" t="s">
        <v>285</v>
      </c>
      <c r="V125" s="514" t="s">
        <v>295</v>
      </c>
      <c r="W125" s="675">
        <f t="shared" si="30"/>
        <v>0</v>
      </c>
      <c r="X125" s="634" t="str">
        <f t="shared" si="22"/>
        <v>NA</v>
      </c>
      <c r="Y125" s="676">
        <f t="shared" si="31"/>
        <v>0</v>
      </c>
      <c r="Z125" s="635">
        <f>IF(ISNA(VLOOKUP(J125,'Efficiency Lookup'!$B$2:$C$38,2,FALSE)),0,(VLOOKUP(J125,'Efficiency Lookup'!$B$2:$C$38,2,FALSE)))</f>
        <v>0.35</v>
      </c>
      <c r="AA125" s="139">
        <f t="shared" si="32"/>
        <v>0.26126760775519792</v>
      </c>
      <c r="AB125" s="1061">
        <f>IF(ISNA(VLOOKUP(K125,'Efficiency Lookup'!$D$2:$E$35,2,FALSE)),0,VLOOKUP(K125,'Efficiency Lookup'!$D$2:$E$35,2,FALSE))</f>
        <v>0.75</v>
      </c>
      <c r="AC125" s="1005">
        <f t="shared" si="33"/>
        <v>0.55985915947542408</v>
      </c>
      <c r="AD125" s="637">
        <f t="shared" si="34"/>
        <v>0</v>
      </c>
      <c r="AE125" s="139">
        <f t="shared" si="35"/>
        <v>0</v>
      </c>
      <c r="AF125" s="516">
        <f t="shared" si="36"/>
        <v>0.55985915947542408</v>
      </c>
      <c r="AG125" s="641">
        <f>IF(ISNA(VLOOKUP(K125,'Efficiency Lookup'!$D$2:$G$35,3,FALSE)),0,VLOOKUP(K125,'Efficiency Lookup'!$D$2:$G$35,3,FALSE))</f>
        <v>0.7</v>
      </c>
      <c r="AH125" s="1005">
        <f t="shared" si="37"/>
        <v>4.8944585745066549</v>
      </c>
      <c r="AI125" s="637">
        <f t="shared" si="38"/>
        <v>0</v>
      </c>
      <c r="AJ125" s="139">
        <f t="shared" si="39"/>
        <v>0</v>
      </c>
      <c r="AK125" s="416">
        <f t="shared" si="23"/>
        <v>4.8944585745066549</v>
      </c>
      <c r="AL125" s="641">
        <f>IF(ISNA(VLOOKUP(K125,'Efficiency Lookup'!$D$2:$G$35,4,FALSE)),0,VLOOKUP(K125,'Efficiency Lookup'!$D$2:$G$35,4,FALSE))</f>
        <v>0.8</v>
      </c>
      <c r="AM125" s="1005">
        <f t="shared" si="40"/>
        <v>266.67857290417436</v>
      </c>
      <c r="AN125" s="637">
        <f t="shared" si="41"/>
        <v>0</v>
      </c>
      <c r="AO125" s="139">
        <f t="shared" si="42"/>
        <v>0</v>
      </c>
      <c r="AP125" s="647">
        <f t="shared" si="43"/>
        <v>266.67857290417436</v>
      </c>
      <c r="AQ125" s="789">
        <f t="shared" si="44"/>
        <v>0.55985915947542408</v>
      </c>
      <c r="AR125" s="789">
        <f t="shared" si="45"/>
        <v>4.8944585745066549</v>
      </c>
      <c r="AS125" s="790">
        <f t="shared" si="46"/>
        <v>266.67857290417436</v>
      </c>
    </row>
    <row r="126" spans="1:45" x14ac:dyDescent="0.25">
      <c r="A126" s="261"/>
      <c r="B126" s="510" t="s">
        <v>297</v>
      </c>
      <c r="C126" s="510" t="s">
        <v>297</v>
      </c>
      <c r="D126" s="510" t="s">
        <v>297</v>
      </c>
      <c r="E126" s="511"/>
      <c r="F126" s="705"/>
      <c r="G126" s="510"/>
      <c r="H126" s="511"/>
      <c r="I126" s="261" t="str">
        <f>IF(G126="","",IF(G126="Proprietary","Filterra","Clearinghouse Not Used"))</f>
        <v/>
      </c>
      <c r="J126" s="511"/>
      <c r="K126" s="511"/>
      <c r="L126" s="510"/>
      <c r="M126" s="510"/>
      <c r="N126" s="672"/>
      <c r="O126" s="514"/>
      <c r="P126" s="514" t="s">
        <v>297</v>
      </c>
      <c r="Q126" s="688"/>
      <c r="R126" s="674"/>
      <c r="S126" s="674"/>
      <c r="T126" s="674"/>
      <c r="U126" s="1022"/>
      <c r="V126" s="514"/>
      <c r="W126" s="675"/>
      <c r="X126" s="636" t="str">
        <f t="shared" si="22"/>
        <v/>
      </c>
      <c r="Y126" s="706"/>
      <c r="Z126" s="640"/>
      <c r="AA126" s="1022"/>
      <c r="AB126" s="637"/>
      <c r="AC126" s="637"/>
      <c r="AD126" s="637"/>
      <c r="AE126" s="139"/>
      <c r="AF126" s="642"/>
      <c r="AG126" s="583"/>
      <c r="AH126" s="139"/>
      <c r="AI126" s="637"/>
      <c r="AJ126" s="139"/>
      <c r="AK126" s="416" t="str">
        <f t="shared" si="23"/>
        <v/>
      </c>
      <c r="AL126" s="642"/>
      <c r="AM126" s="637"/>
      <c r="AN126" s="637"/>
      <c r="AO126" s="139"/>
      <c r="AP126" s="647"/>
      <c r="AQ126" s="789"/>
      <c r="AR126" s="789"/>
      <c r="AS126" s="790"/>
    </row>
    <row r="127" spans="1:45" x14ac:dyDescent="0.25">
      <c r="A127" s="628"/>
      <c r="B127" s="668" t="s">
        <v>297</v>
      </c>
      <c r="C127" s="668" t="s">
        <v>297</v>
      </c>
      <c r="D127" s="668" t="s">
        <v>297</v>
      </c>
      <c r="E127" s="710"/>
      <c r="F127" s="711"/>
      <c r="G127" s="668"/>
      <c r="H127" s="712"/>
      <c r="I127" s="712" t="str">
        <f>IF(G127="","",IF(G127="Proprietary","Filterra","Clearinghouse Not Used"))</f>
        <v/>
      </c>
      <c r="J127" s="712"/>
      <c r="K127" s="712"/>
      <c r="L127" s="712"/>
      <c r="M127" s="712"/>
      <c r="N127" s="712"/>
      <c r="O127" s="712"/>
      <c r="P127" s="712"/>
      <c r="Q127" s="712"/>
      <c r="R127" s="712"/>
      <c r="S127" s="712"/>
      <c r="T127" s="712"/>
      <c r="U127" s="712"/>
      <c r="V127" s="712"/>
      <c r="W127" s="712"/>
      <c r="X127" s="760" t="str">
        <f t="shared" si="22"/>
        <v/>
      </c>
      <c r="Y127" s="713"/>
      <c r="Z127" s="712"/>
      <c r="AA127" s="712"/>
      <c r="AB127" s="638"/>
      <c r="AC127" s="638"/>
      <c r="AD127" s="638"/>
      <c r="AE127" s="629"/>
      <c r="AF127" s="666"/>
      <c r="AG127" s="666"/>
      <c r="AH127" s="629"/>
      <c r="AI127" s="638"/>
      <c r="AJ127" s="629"/>
      <c r="AK127" s="639" t="str">
        <f t="shared" si="23"/>
        <v/>
      </c>
      <c r="AL127" s="644"/>
      <c r="AM127" s="638"/>
      <c r="AN127" s="638"/>
      <c r="AO127" s="629"/>
      <c r="AP127" s="648"/>
      <c r="AQ127" s="791"/>
      <c r="AR127" s="791"/>
      <c r="AS127" s="792"/>
    </row>
    <row r="128" spans="1:45" ht="14.45" customHeight="1" x14ac:dyDescent="0.25">
      <c r="A128" s="261"/>
      <c r="B128" s="510" t="s">
        <v>297</v>
      </c>
      <c r="C128" s="510" t="s">
        <v>297</v>
      </c>
      <c r="D128" s="510" t="s">
        <v>297</v>
      </c>
      <c r="E128" s="704"/>
      <c r="F128" s="705"/>
      <c r="G128" s="510"/>
      <c r="H128" s="511"/>
      <c r="I128" s="261" t="str">
        <f>IF(G128="","",IF(G128="Proprietary","Filterra","Clearinghouse Not Used"))</f>
        <v/>
      </c>
      <c r="J128" s="511"/>
      <c r="K128" s="511"/>
      <c r="L128" s="510"/>
      <c r="M128" s="510"/>
      <c r="N128" s="672"/>
      <c r="O128" s="514"/>
      <c r="P128" s="514" t="s">
        <v>297</v>
      </c>
      <c r="Q128" s="688"/>
      <c r="R128" s="674"/>
      <c r="S128" s="674"/>
      <c r="T128" s="674"/>
      <c r="U128" s="1022"/>
      <c r="V128" s="514"/>
      <c r="W128" s="675"/>
      <c r="X128" s="636" t="str">
        <f t="shared" si="22"/>
        <v/>
      </c>
      <c r="Y128" s="706"/>
      <c r="Z128" s="640"/>
      <c r="AA128" s="1022"/>
      <c r="AB128" s="637"/>
      <c r="AC128" s="637"/>
      <c r="AD128" s="637"/>
      <c r="AE128" s="139"/>
      <c r="AF128" s="642"/>
      <c r="AG128" s="583"/>
      <c r="AH128" s="139"/>
      <c r="AI128" s="637"/>
      <c r="AJ128" s="139"/>
      <c r="AK128" s="416" t="str">
        <f t="shared" si="23"/>
        <v/>
      </c>
      <c r="AL128" s="642"/>
      <c r="AM128" s="637"/>
      <c r="AN128" s="637"/>
      <c r="AO128" s="139"/>
      <c r="AP128" s="647"/>
      <c r="AQ128" s="789"/>
      <c r="AR128" s="789"/>
      <c r="AS128" s="790"/>
    </row>
    <row r="129" spans="1:45" x14ac:dyDescent="0.25">
      <c r="A129" s="261" t="s">
        <v>683</v>
      </c>
      <c r="B129" s="510">
        <v>38.046487999999997</v>
      </c>
      <c r="C129" s="510">
        <v>-78.520449999999997</v>
      </c>
      <c r="D129" s="510" t="s">
        <v>286</v>
      </c>
      <c r="E129" s="511">
        <v>140.01</v>
      </c>
      <c r="F129" s="669">
        <v>39720</v>
      </c>
      <c r="G129" s="510" t="s">
        <v>331</v>
      </c>
      <c r="H129" s="511" t="s">
        <v>423</v>
      </c>
      <c r="I129" s="511"/>
      <c r="J129" s="511" t="s">
        <v>337</v>
      </c>
      <c r="K129" s="511" t="s">
        <v>334</v>
      </c>
      <c r="L129" s="671"/>
      <c r="M129" s="671">
        <f>N129+O129+P129</f>
        <v>1.2145589636047371</v>
      </c>
      <c r="N129" s="672">
        <v>0.83108899857850704</v>
      </c>
      <c r="O129" s="514">
        <v>0.38346996502623004</v>
      </c>
      <c r="P129" s="514">
        <v>0</v>
      </c>
      <c r="Q129" s="673">
        <f>+N129/M129</f>
        <v>0.68427225312461193</v>
      </c>
      <c r="R129" s="674">
        <f>IF(L128="TT",(1.76*N129+0.5*O129+0.13*P129)-AF128,1.76*N129+0.5*O129+0.13*P129)</f>
        <v>1.6544516200112873</v>
      </c>
      <c r="S129" s="674">
        <f>IF(L128="TT",(M129*9.39+N129*6.99+O129*2.36)-AK128,M129*9.39+N129*6.99+O129*2.36)</f>
        <v>18.119009885774148</v>
      </c>
      <c r="T129" s="674">
        <f>IF(L128="TT",(M129*676.94+N129*101.08+O129*77.38)-AP128,M129*676.94+N129*101.08+O129*77.38)</f>
        <v>935.86292669263605</v>
      </c>
      <c r="U129" s="1022"/>
      <c r="V129" s="514" t="s">
        <v>295</v>
      </c>
      <c r="W129" s="675">
        <f>IF(V129="NA", 0, (V129)*12/N129/43560)</f>
        <v>0</v>
      </c>
      <c r="X129" s="634" t="str">
        <f t="shared" si="22"/>
        <v>NA</v>
      </c>
      <c r="Y129" s="676">
        <f>IF(X129="NA",0,R129*X129)</f>
        <v>0</v>
      </c>
      <c r="Z129" s="635">
        <f>IF(ISNA(VLOOKUP(J129,'Efficiency Lookup'!$B$2:$C$38,2,FALSE)),0,(VLOOKUP(J129,'Efficiency Lookup'!$B$2:$C$38,2,FALSE)))</f>
        <v>0.15</v>
      </c>
      <c r="AA129" s="139">
        <f>R129*Z129</f>
        <v>0.24816774300169309</v>
      </c>
      <c r="AB129" s="1061">
        <f>IF(ISNA(VLOOKUP(K129,'Efficiency Lookup'!$D$2:$E$35,2,FALSE)),0,VLOOKUP(K129,'Efficiency Lookup'!$D$2:$E$35,2,FALSE))</f>
        <v>0.75</v>
      </c>
      <c r="AC129" s="1005">
        <f>R129*AB129</f>
        <v>1.2408387150084654</v>
      </c>
      <c r="AD129" s="637">
        <f>IF(U129="RR",IF((0.0304*(W129^5)-0.2619*(W129^4)+0.9161*(W129^3)-1.6837*(W129^2)+1.7072*W129-0.0091)&gt;0.85,0.85,IF((0.0304*(W129^5)-0.2619*(W129^4)+0.9161*(W129^3)-1.6837*(W129^2)+1.7072*W129-0.0091)&lt;0,0,(0.0304*(W129^5)-0.2619*(W129^4)+0.9161*(W129^3)-1.6837*(W129^2)+1.7072*W129-0.0091))),IF((0.0239*(W129^5)-0.2058*(W129^4)+0.7198*(W129^3)-1.3229*(W129^2)+1.3414*W129-0.0072)&gt;0.65,0.65,IF((0.0239*(W129^5)-0.2058*(W129^4)+0.7198*(W129^3)-1.3229*(W129^2)+1.3414*W129-0.0072)&lt;0,0,(0.0239*(W129^5)-0.2058*(W129^4)+0.7198*(W129^3)-1.3229*(W129^2)+1.3414*W129-0.0072))))</f>
        <v>0</v>
      </c>
      <c r="AE129" s="139">
        <f>R129*AD129</f>
        <v>0</v>
      </c>
      <c r="AF129" s="516">
        <f>MAX(Y129,AA129,AC129,AE129)</f>
        <v>1.2408387150084654</v>
      </c>
      <c r="AG129" s="641">
        <f>IF(ISNA(VLOOKUP(K129,'Efficiency Lookup'!$D$2:$G$35,3,FALSE)),0,VLOOKUP(K129,'Efficiency Lookup'!$D$2:$G$35,3,FALSE))</f>
        <v>0.7</v>
      </c>
      <c r="AH129" s="1005">
        <f>S129*AG129</f>
        <v>12.683306920041902</v>
      </c>
      <c r="AI129" s="637">
        <f>IF(U129="RR",IF((0.0308*(W129^5)-0.2562*(W129^4)+0.8634*(W129^3)-1.5285*(W129^2)+1.501*W129-0.013)&gt;0.7,0.7,IF((0.0308*(W129^5)-0.2562*(W129^4)+0.8634*(W129^3)-1.5285*(W129^2)+1.501*W129-0.013)&lt;0,0,(0.0308*(W129^5)-0.2562*(W129^4)+0.8634*(W129^3)-1.5285*(W129^2)+1.501*W129-0.013))),IF((0.0152*(W129^5)-0.131*(W129^4)+0.4581*(W129^3)-0.8418*(W129^2)+0.8536*W129-0.0046)&gt;0.65,0.65,IF((0.0152*(W129^5)-0.131*(W129^4)+0.4581*(W129^3)-0.8418*(W129^2)+0.8536*W129-0.0046)&lt;0,0,(0.0152*(W129^5)-0.131*(W129^4)+0.4581*(W129^3)-0.8418*(W129^2)+0.8536*W129-0.0046))))</f>
        <v>0</v>
      </c>
      <c r="AJ129" s="139">
        <f>S129*AI129</f>
        <v>0</v>
      </c>
      <c r="AK129" s="416">
        <f t="shared" si="23"/>
        <v>12.683306920041902</v>
      </c>
      <c r="AL129" s="641">
        <f>IF(ISNA(VLOOKUP(K129,'Efficiency Lookup'!$D$2:$G$35,4,FALSE)),0,VLOOKUP(K129,'Efficiency Lookup'!$D$2:$G$35,4,FALSE))</f>
        <v>0.8</v>
      </c>
      <c r="AM129" s="1005">
        <f>T129*AL129</f>
        <v>748.69034135410891</v>
      </c>
      <c r="AN129" s="637">
        <f>IF(U129="RR",IF((0.0326*(W129^5)-0.2806*(W129^4)+0.9816*(W129^3)-1.8039*(W129^2)+1.8292*W129-0.0098)&gt;0.85,0.85,IF((0.0326*(W129^5)-0.2806*(W129^4)+0.9816*(W129^3)-1.8039*(W129^2)+1.8292*W129-0.0098)&lt;0,0,(0.0326*(W129^5)-0.2806*(W129^4)+0.9816*(W129^3)-1.8039*(W129^2)+1.8292*W129-0.0098))),IF((0.0304*(W129^5)-0.2619*(W129^4)+0.9161*(W129^3)-1.6837*(W129^2)+1.7072*W129-0.0091)&gt;0.8,0.8,IF((0.0304*(W129^5)-0.2619*(W129^4)+0.9161*(W129^3)-1.6837*(W129^2)+1.7072*W129-0.0091)&lt;0,0,(0.0304*(W129^5)-0.2619*(W129^4)+0.9161*(W129^3)-1.6837*(W129^2)+1.7072*W129-0.0091))))</f>
        <v>0</v>
      </c>
      <c r="AO129" s="139">
        <f>T129*AN129</f>
        <v>0</v>
      </c>
      <c r="AP129" s="647">
        <f>IF(AK129=AH129,AM129,AO129)</f>
        <v>748.69034135410891</v>
      </c>
      <c r="AQ129" s="789">
        <f>IF(AF129&lt;0,0,AF129)</f>
        <v>1.2408387150084654</v>
      </c>
      <c r="AR129" s="789">
        <f>IF(AK129&lt;0,0,AK129)</f>
        <v>12.683306920041902</v>
      </c>
      <c r="AS129" s="790">
        <f>IF(AP129&lt;0,0,AP129)</f>
        <v>748.69034135410891</v>
      </c>
    </row>
    <row r="130" spans="1:45" ht="30" x14ac:dyDescent="0.25">
      <c r="A130" s="261"/>
      <c r="B130" s="510">
        <v>38.046348999999999</v>
      </c>
      <c r="C130" s="510">
        <v>-78.519672999999997</v>
      </c>
      <c r="D130" s="510" t="s">
        <v>286</v>
      </c>
      <c r="E130" s="511">
        <v>140.02000000000001</v>
      </c>
      <c r="F130" s="669">
        <v>39720</v>
      </c>
      <c r="G130" s="510" t="s">
        <v>281</v>
      </c>
      <c r="H130" s="670"/>
      <c r="I130" s="511"/>
      <c r="J130" s="511" t="s">
        <v>343</v>
      </c>
      <c r="K130" s="511" t="s">
        <v>496</v>
      </c>
      <c r="L130" s="671"/>
      <c r="M130" s="671">
        <f>N130+O130+P130</f>
        <v>0.50152514858645802</v>
      </c>
      <c r="N130" s="672">
        <v>0.36011148144535798</v>
      </c>
      <c r="O130" s="514">
        <v>0.14141366714110001</v>
      </c>
      <c r="P130" s="514">
        <v>0</v>
      </c>
      <c r="Q130" s="673">
        <f>+N130/M130</f>
        <v>0.71803274962447527</v>
      </c>
      <c r="R130" s="674">
        <f>IF(L129="TT",(1.76*N130+0.5*O130+0.13*P130)-AF129,1.76*N130+0.5*O130+0.13*P130)</f>
        <v>0.70450304091437999</v>
      </c>
      <c r="S130" s="674">
        <f>IF(L129="TT",(M130*9.39+N130*6.99+O130*2.36)-AK129,M130*9.39+N130*6.99+O130*2.36)</f>
        <v>7.560236654982889</v>
      </c>
      <c r="T130" s="674">
        <f>IF(L129="TT",(M130*676.94+N130*101.08+O130*77.38)-AP129,M130*676.94+N130*101.08+O130*77.38)</f>
        <v>386.84509219199202</v>
      </c>
      <c r="U130" s="1022"/>
      <c r="V130" s="514">
        <f>77*27</f>
        <v>2079</v>
      </c>
      <c r="W130" s="675">
        <f>IF(V130="NA", 0, (V130)*12/N130/43560)</f>
        <v>1.5904165855211041</v>
      </c>
      <c r="X130" s="634" t="str">
        <f t="shared" si="22"/>
        <v>NA</v>
      </c>
      <c r="Y130" s="676">
        <f>IF(X130="NA",0,R130*X130)</f>
        <v>0</v>
      </c>
      <c r="Z130" s="635">
        <f>IF(ISNA(VLOOKUP(J130,'Efficiency Lookup'!$B$2:$C$38,2,FALSE)),0,(VLOOKUP(J130,'Efficiency Lookup'!$B$2:$C$38,2,FALSE)))</f>
        <v>0.5</v>
      </c>
      <c r="AA130" s="139">
        <f>R130*Z130</f>
        <v>0.35225152045718999</v>
      </c>
      <c r="AB130" s="1061">
        <f>IF(ISNA(VLOOKUP(K130,'Efficiency Lookup'!$D$2:$E$35,2,FALSE)),0,VLOOKUP(K130,'Efficiency Lookup'!$D$2:$E$35,2,FALSE))</f>
        <v>0.85</v>
      </c>
      <c r="AC130" s="1005">
        <f>R130*AB130</f>
        <v>0.59882758477722298</v>
      </c>
      <c r="AD130" s="637">
        <f>IF(U130="RR",IF((0.0304*(W130^5)-0.2619*(W130^4)+0.9161*(W130^3)-1.6837*(W130^2)+1.7072*W130-0.0091)&gt;0.85,0.85,IF((0.0304*(W130^5)-0.2619*(W130^4)+0.9161*(W130^3)-1.6837*(W130^2)+1.7072*W130-0.0091)&lt;0,0,(0.0304*(W130^5)-0.2619*(W130^4)+0.9161*(W130^3)-1.6837*(W130^2)+1.7072*W130-0.0091))),IF((0.0239*(W130^5)-0.2058*(W130^4)+0.7198*(W130^3)-1.3229*(W130^2)+1.3414*W130-0.0072)&gt;0.65,0.65,IF((0.0239*(W130^5)-0.2058*(W130^4)+0.7198*(W130^3)-1.3229*(W130^2)+1.3414*W130-0.0072)&lt;0,0,(0.0239*(W130^5)-0.2058*(W130^4)+0.7198*(W130^3)-1.3229*(W130^2)+1.3414*W130-0.0072))))</f>
        <v>0.60213565144727632</v>
      </c>
      <c r="AE130" s="139">
        <f>R130*AD130</f>
        <v>0.42420639748756733</v>
      </c>
      <c r="AF130" s="516">
        <f>MAX(Y130,AA130,AC130,AE130)</f>
        <v>0.59882758477722298</v>
      </c>
      <c r="AG130" s="641">
        <f>IF(ISNA(VLOOKUP(K130,'Efficiency Lookup'!$D$2:$G$35,3,FALSE)),0,VLOOKUP(K130,'Efficiency Lookup'!$D$2:$G$35,3,FALSE))</f>
        <v>0.8</v>
      </c>
      <c r="AH130" s="1005">
        <f>S130*AG130</f>
        <v>6.0481893239863114</v>
      </c>
      <c r="AI130" s="637">
        <f>IF(U130="RR",IF((0.0308*(W130^5)-0.2562*(W130^4)+0.8634*(W130^3)-1.5285*(W130^2)+1.501*W130-0.013)&gt;0.7,0.7,IF((0.0308*(W130^5)-0.2562*(W130^4)+0.8634*(W130^3)-1.5285*(W130^2)+1.501*W130-0.013)&lt;0,0,(0.0308*(W130^5)-0.2562*(W130^4)+0.8634*(W130^3)-1.5285*(W130^2)+1.501*W130-0.013))),IF((0.0152*(W130^5)-0.131*(W130^4)+0.4581*(W130^3)-0.8418*(W130^2)+0.8536*W130-0.0046)&gt;0.65,0.65,IF((0.0152*(W130^5)-0.131*(W130^4)+0.4581*(W130^3)-0.8418*(W130^2)+0.8536*W130-0.0046)&lt;0,0,(0.0152*(W130^5)-0.131*(W130^4)+0.4581*(W130^3)-0.8418*(W130^2)+0.8536*W130-0.0046))))</f>
        <v>0.38310280597944762</v>
      </c>
      <c r="AJ130" s="139">
        <f>S130*AI130</f>
        <v>2.896347876392618</v>
      </c>
      <c r="AK130" s="416">
        <f t="shared" si="23"/>
        <v>6.0481893239863114</v>
      </c>
      <c r="AL130" s="641">
        <f>IF(ISNA(VLOOKUP(K130,'Efficiency Lookup'!$D$2:$G$35,4,FALSE)),0,VLOOKUP(K130,'Efficiency Lookup'!$D$2:$G$35,4,FALSE))</f>
        <v>0.9</v>
      </c>
      <c r="AM130" s="1005">
        <f>T130*AL130</f>
        <v>348.16058297279284</v>
      </c>
      <c r="AN130" s="637">
        <f>IF(U130="RR",IF((0.0326*(W130^5)-0.2806*(W130^4)+0.9816*(W130^3)-1.8039*(W130^2)+1.8292*W130-0.0098)&gt;0.85,0.85,IF((0.0326*(W130^5)-0.2806*(W130^4)+0.9816*(W130^3)-1.8039*(W130^2)+1.8292*W130-0.0098)&lt;0,0,(0.0326*(W130^5)-0.2806*(W130^4)+0.9816*(W130^3)-1.8039*(W130^2)+1.8292*W130-0.0098))),IF((0.0304*(W130^5)-0.2619*(W130^4)+0.9161*(W130^3)-1.6837*(W130^2)+1.7072*W130-0.0091)&gt;0.8,0.8,IF((0.0304*(W130^5)-0.2619*(W130^4)+0.9161*(W130^3)-1.6837*(W130^2)+1.7072*W130-0.0091)&lt;0,0,(0.0304*(W130^5)-0.2619*(W130^4)+0.9161*(W130^3)-1.6837*(W130^2)+1.7072*W130-0.0091))))</f>
        <v>0.76629018457391596</v>
      </c>
      <c r="AO130" s="139">
        <f>T130*AN130</f>
        <v>296.43559709731511</v>
      </c>
      <c r="AP130" s="647">
        <f>IF(AK130=AH130,AM130,AO130)</f>
        <v>348.16058297279284</v>
      </c>
      <c r="AQ130" s="789">
        <f>IF(AF130&lt;0,0,AF130)</f>
        <v>0.59882758477722298</v>
      </c>
      <c r="AR130" s="789">
        <f>IF(AK130&lt;0,0,AK130)</f>
        <v>6.0481893239863114</v>
      </c>
      <c r="AS130" s="790">
        <f>IF(AP130&lt;0,0,AP130)</f>
        <v>348.16058297279284</v>
      </c>
    </row>
    <row r="131" spans="1:45" x14ac:dyDescent="0.25">
      <c r="A131" s="261"/>
      <c r="B131" s="510" t="s">
        <v>297</v>
      </c>
      <c r="C131" s="510" t="s">
        <v>297</v>
      </c>
      <c r="D131" s="510" t="s">
        <v>297</v>
      </c>
      <c r="E131" s="511"/>
      <c r="F131" s="705"/>
      <c r="G131" s="510"/>
      <c r="H131" s="511"/>
      <c r="I131" s="261"/>
      <c r="J131" s="511"/>
      <c r="K131" s="511"/>
      <c r="L131" s="510"/>
      <c r="M131" s="510"/>
      <c r="N131" s="672"/>
      <c r="O131" s="514"/>
      <c r="P131" s="514" t="s">
        <v>297</v>
      </c>
      <c r="Q131" s="688"/>
      <c r="R131" s="674"/>
      <c r="S131" s="674"/>
      <c r="T131" s="674"/>
      <c r="U131" s="1022"/>
      <c r="V131" s="514"/>
      <c r="W131" s="675"/>
      <c r="X131" s="636" t="str">
        <f t="shared" si="22"/>
        <v/>
      </c>
      <c r="Y131" s="706"/>
      <c r="Z131" s="640"/>
      <c r="AA131" s="1022"/>
      <c r="AB131" s="637"/>
      <c r="AC131" s="637"/>
      <c r="AD131" s="637"/>
      <c r="AE131" s="139"/>
      <c r="AF131" s="642"/>
      <c r="AG131" s="583"/>
      <c r="AH131" s="139"/>
      <c r="AI131" s="637"/>
      <c r="AJ131" s="139"/>
      <c r="AK131" s="416" t="str">
        <f t="shared" si="23"/>
        <v/>
      </c>
      <c r="AL131" s="642"/>
      <c r="AM131" s="637"/>
      <c r="AN131" s="637"/>
      <c r="AO131" s="139"/>
      <c r="AP131" s="647"/>
      <c r="AQ131" s="789"/>
      <c r="AR131" s="789"/>
      <c r="AS131" s="790"/>
    </row>
    <row r="132" spans="1:45" x14ac:dyDescent="0.25">
      <c r="A132" s="628"/>
      <c r="B132" s="668" t="s">
        <v>297</v>
      </c>
      <c r="C132" s="668" t="s">
        <v>297</v>
      </c>
      <c r="D132" s="668" t="s">
        <v>297</v>
      </c>
      <c r="E132" s="710"/>
      <c r="F132" s="711"/>
      <c r="G132" s="668"/>
      <c r="H132" s="712"/>
      <c r="I132" s="712"/>
      <c r="J132" s="712"/>
      <c r="K132" s="712"/>
      <c r="L132" s="712"/>
      <c r="M132" s="712"/>
      <c r="N132" s="712"/>
      <c r="O132" s="712"/>
      <c r="P132" s="712"/>
      <c r="Q132" s="712"/>
      <c r="R132" s="712"/>
      <c r="S132" s="712"/>
      <c r="T132" s="712"/>
      <c r="U132" s="712"/>
      <c r="V132" s="712"/>
      <c r="W132" s="712"/>
      <c r="X132" s="760" t="str">
        <f t="shared" si="22"/>
        <v/>
      </c>
      <c r="Y132" s="713"/>
      <c r="Z132" s="712"/>
      <c r="AA132" s="712"/>
      <c r="AB132" s="638"/>
      <c r="AC132" s="638"/>
      <c r="AD132" s="638"/>
      <c r="AE132" s="629"/>
      <c r="AF132" s="666"/>
      <c r="AG132" s="666"/>
      <c r="AH132" s="629"/>
      <c r="AI132" s="638"/>
      <c r="AJ132" s="629"/>
      <c r="AK132" s="639" t="str">
        <f t="shared" si="23"/>
        <v/>
      </c>
      <c r="AL132" s="644"/>
      <c r="AM132" s="638"/>
      <c r="AN132" s="638"/>
      <c r="AO132" s="629"/>
      <c r="AP132" s="648"/>
      <c r="AQ132" s="791"/>
      <c r="AR132" s="791"/>
      <c r="AS132" s="792"/>
    </row>
    <row r="133" spans="1:45" ht="14.45" customHeight="1" x14ac:dyDescent="0.25">
      <c r="A133" s="261"/>
      <c r="B133" s="510" t="s">
        <v>297</v>
      </c>
      <c r="C133" s="510" t="s">
        <v>297</v>
      </c>
      <c r="D133" s="510" t="s">
        <v>297</v>
      </c>
      <c r="E133" s="704"/>
      <c r="F133" s="705"/>
      <c r="G133" s="510"/>
      <c r="H133" s="511"/>
      <c r="I133" s="261"/>
      <c r="J133" s="511"/>
      <c r="K133" s="511"/>
      <c r="L133" s="510"/>
      <c r="M133" s="510"/>
      <c r="N133" s="672"/>
      <c r="O133" s="514"/>
      <c r="P133" s="514" t="s">
        <v>297</v>
      </c>
      <c r="Q133" s="688"/>
      <c r="R133" s="674"/>
      <c r="S133" s="674"/>
      <c r="T133" s="674"/>
      <c r="U133" s="1022"/>
      <c r="V133" s="514"/>
      <c r="W133" s="675"/>
      <c r="X133" s="636" t="str">
        <f t="shared" si="22"/>
        <v/>
      </c>
      <c r="Y133" s="706"/>
      <c r="Z133" s="640"/>
      <c r="AA133" s="1022"/>
      <c r="AB133" s="637"/>
      <c r="AC133" s="637"/>
      <c r="AD133" s="637"/>
      <c r="AE133" s="139"/>
      <c r="AF133" s="642"/>
      <c r="AG133" s="583"/>
      <c r="AH133" s="139"/>
      <c r="AI133" s="637"/>
      <c r="AJ133" s="139"/>
      <c r="AK133" s="416" t="str">
        <f t="shared" si="23"/>
        <v/>
      </c>
      <c r="AL133" s="642"/>
      <c r="AM133" s="637"/>
      <c r="AN133" s="637"/>
      <c r="AO133" s="139"/>
      <c r="AP133" s="647"/>
      <c r="AQ133" s="789"/>
      <c r="AR133" s="789"/>
      <c r="AS133" s="790"/>
    </row>
    <row r="134" spans="1:45" x14ac:dyDescent="0.25">
      <c r="A134" s="261" t="s">
        <v>684</v>
      </c>
      <c r="B134" s="510">
        <v>38.015898999999997</v>
      </c>
      <c r="C134" s="510">
        <v>-78.523979999999995</v>
      </c>
      <c r="D134" s="510" t="s">
        <v>296</v>
      </c>
      <c r="E134" s="511">
        <v>269.01</v>
      </c>
      <c r="F134" s="669">
        <v>39030</v>
      </c>
      <c r="G134" s="510" t="s">
        <v>293</v>
      </c>
      <c r="H134" s="511"/>
      <c r="I134" s="511"/>
      <c r="J134" s="511"/>
      <c r="K134" s="511" t="s">
        <v>665</v>
      </c>
      <c r="L134" s="261"/>
      <c r="M134" s="514">
        <f>N134+O134+P134</f>
        <v>19.351124567082998</v>
      </c>
      <c r="N134" s="672">
        <v>7.3401173360199996</v>
      </c>
      <c r="O134" s="514">
        <v>9.4778291345400003</v>
      </c>
      <c r="P134" s="514">
        <v>2.5331780965229997</v>
      </c>
      <c r="Q134" s="673">
        <f>+N134/M134</f>
        <v>0.37931218470402589</v>
      </c>
      <c r="R134" s="674">
        <f>IF(L133="TT",(1.76*N134+0.5*O134+0.13*P134)-AF133,1.76*N134+0.5*O134+0.13*P134)</f>
        <v>17.986834231213187</v>
      </c>
      <c r="S134" s="674">
        <f>IF(L133="TT",(M134*9.39+N134*6.99+O134*2.36)-AK133,M134*9.39+N134*6.99+O134*2.36)</f>
        <v>255.38215662120356</v>
      </c>
      <c r="T134" s="674">
        <f>IF(L133="TT",(M134*676.94+N134*101.08+O134*77.38)-AP133,M134*676.94+N134*101.08+O134*77.38)</f>
        <v>14574.883743196773</v>
      </c>
      <c r="U134" s="1022" t="s">
        <v>295</v>
      </c>
      <c r="V134" s="514" t="s">
        <v>295</v>
      </c>
      <c r="W134" s="675">
        <f>IF(V134="NA", 0, (V134)*12/N134/43560)</f>
        <v>0</v>
      </c>
      <c r="X134" s="634" t="str">
        <f t="shared" si="22"/>
        <v>NA</v>
      </c>
      <c r="Y134" s="676">
        <f>IF(X134="NA",0,R134*X134)</f>
        <v>0</v>
      </c>
      <c r="Z134" s="635">
        <f>IF(ISNA(VLOOKUP(J134,'Efficiency Lookup'!$B$2:$C$38,2,FALSE)),0,(VLOOKUP(J134,'Efficiency Lookup'!$B$2:$C$38,2,FALSE)))</f>
        <v>0</v>
      </c>
      <c r="AA134" s="139">
        <f>R134*Z134</f>
        <v>0</v>
      </c>
      <c r="AB134" s="1061">
        <f>IF(ISNA(VLOOKUP(K134,'Efficiency Lookup'!$D$2:$E$35,2,FALSE)),0,VLOOKUP(K134,'Efficiency Lookup'!$D$2:$E$35,2,FALSE))</f>
        <v>0.1</v>
      </c>
      <c r="AC134" s="1005">
        <f>R134*AB134</f>
        <v>1.7986834231213189</v>
      </c>
      <c r="AD134" s="637">
        <f>IF(U134="RR",IF((0.0304*(W134^5)-0.2619*(W134^4)+0.9161*(W134^3)-1.6837*(W134^2)+1.7072*W134-0.0091)&gt;0.85,0.85,IF((0.0304*(W134^5)-0.2619*(W134^4)+0.9161*(W134^3)-1.6837*(W134^2)+1.7072*W134-0.0091)&lt;0,0,(0.0304*(W134^5)-0.2619*(W134^4)+0.9161*(W134^3)-1.6837*(W134^2)+1.7072*W134-0.0091))),IF((0.0239*(W134^5)-0.2058*(W134^4)+0.7198*(W134^3)-1.3229*(W134^2)+1.3414*W134-0.0072)&gt;0.65,0.65,IF((0.0239*(W134^5)-0.2058*(W134^4)+0.7198*(W134^3)-1.3229*(W134^2)+1.3414*W134-0.0072)&lt;0,0,(0.0239*(W134^5)-0.2058*(W134^4)+0.7198*(W134^3)-1.3229*(W134^2)+1.3414*W134-0.0072))))</f>
        <v>0</v>
      </c>
      <c r="AE134" s="139">
        <f>R134*AD134</f>
        <v>0</v>
      </c>
      <c r="AF134" s="516">
        <f>MAX(Y134,AA134,AC134,AE134)</f>
        <v>1.7986834231213189</v>
      </c>
      <c r="AG134" s="636">
        <f>IF(ISNA(VLOOKUP(K134,'Efficiency Lookup'!$D$2:$G$35,3,FALSE)),0,VLOOKUP(K134,'Efficiency Lookup'!$D$2:$G$35,3,FALSE))</f>
        <v>0.05</v>
      </c>
      <c r="AH134" s="1022">
        <f>S134*AG134</f>
        <v>12.769107831060179</v>
      </c>
      <c r="AI134" s="637">
        <f>IF(U134="RR",IF((0.0308*(W134^5)-0.2562*(W134^4)+0.8634*(W134^3)-1.5285*(W134^2)+1.501*W134-0.013)&gt;0.7,0.7,IF((0.0308*(W134^5)-0.2562*(W134^4)+0.8634*(W134^3)-1.5285*(W134^2)+1.501*W134-0.013)&lt;0,0,(0.0308*(W134^5)-0.2562*(W134^4)+0.8634*(W134^3)-1.5285*(W134^2)+1.501*W134-0.013))),IF((0.0152*(W134^5)-0.131*(W134^4)+0.4581*(W134^3)-0.8418*(W134^2)+0.8536*W134-0.0046)&gt;0.65,0.65,IF((0.0152*(W134^5)-0.131*(W134^4)+0.4581*(W134^3)-0.8418*(W134^2)+0.8536*W134-0.0046)&lt;0,0,(0.0152*(W134^5)-0.131*(W134^4)+0.4581*(W134^3)-0.8418*(W134^2)+0.8536*W134-0.0046))))</f>
        <v>0</v>
      </c>
      <c r="AJ134" s="139">
        <f>S134*AI134</f>
        <v>0</v>
      </c>
      <c r="AK134" s="416">
        <f t="shared" si="23"/>
        <v>12.769107831060179</v>
      </c>
      <c r="AL134" s="641">
        <f>IF(ISNA(VLOOKUP(K134,'Efficiency Lookup'!$D$2:$G$35,4,FALSE)),0,VLOOKUP(K134,'Efficiency Lookup'!$D$2:$G$35,4,FALSE))</f>
        <v>0.1</v>
      </c>
      <c r="AM134" s="1022">
        <f>T134*AL134</f>
        <v>1457.4883743196774</v>
      </c>
      <c r="AN134" s="637">
        <f>IF(U134="RR",IF((0.0326*(W134^5)-0.2806*(W134^4)+0.9816*(W134^3)-1.8039*(W134^2)+1.8292*W134-0.0098)&gt;0.85,0.85,IF((0.0326*(W134^5)-0.2806*(W134^4)+0.9816*(W134^3)-1.8039*(W134^2)+1.8292*W134-0.0098)&lt;0,0,(0.0326*(W134^5)-0.2806*(W134^4)+0.9816*(W134^3)-1.8039*(W134^2)+1.8292*W134-0.0098))),IF((0.0304*(W134^5)-0.2619*(W134^4)+0.9161*(W134^3)-1.6837*(W134^2)+1.7072*W134-0.0091)&gt;0.8,0.8,IF((0.0304*(W134^5)-0.2619*(W134^4)+0.9161*(W134^3)-1.6837*(W134^2)+1.7072*W134-0.0091)&lt;0,0,(0.0304*(W134^5)-0.2619*(W134^4)+0.9161*(W134^3)-1.6837*(W134^2)+1.7072*W134-0.0091))))</f>
        <v>0</v>
      </c>
      <c r="AO134" s="139">
        <f>T134*AN134</f>
        <v>0</v>
      </c>
      <c r="AP134" s="647">
        <f>IF(AK134=AH134,AM134,AO134)</f>
        <v>1457.4883743196774</v>
      </c>
      <c r="AQ134" s="789">
        <f>IF(AF134&lt;0,0,AF134)</f>
        <v>1.7986834231213189</v>
      </c>
      <c r="AR134" s="789">
        <f>IF(AK134&lt;0,0,AK134)</f>
        <v>12.769107831060179</v>
      </c>
      <c r="AS134" s="790">
        <f>IF(AP134&lt;0,0,AP134)</f>
        <v>1457.4883743196774</v>
      </c>
    </row>
    <row r="135" spans="1:45" x14ac:dyDescent="0.25">
      <c r="A135" s="261"/>
      <c r="B135" s="510" t="s">
        <v>297</v>
      </c>
      <c r="C135" s="510" t="s">
        <v>297</v>
      </c>
      <c r="D135" s="510" t="s">
        <v>297</v>
      </c>
      <c r="E135" s="511"/>
      <c r="F135" s="705"/>
      <c r="G135" s="510"/>
      <c r="H135" s="511"/>
      <c r="I135" s="261"/>
      <c r="J135" s="511"/>
      <c r="K135" s="511"/>
      <c r="L135" s="510"/>
      <c r="M135" s="510"/>
      <c r="N135" s="672"/>
      <c r="O135" s="514"/>
      <c r="P135" s="514" t="s">
        <v>297</v>
      </c>
      <c r="Q135" s="688"/>
      <c r="R135" s="674"/>
      <c r="S135" s="674"/>
      <c r="T135" s="674"/>
      <c r="U135" s="1022"/>
      <c r="V135" s="514"/>
      <c r="W135" s="675"/>
      <c r="X135" s="636" t="str">
        <f t="shared" si="22"/>
        <v/>
      </c>
      <c r="Y135" s="706"/>
      <c r="Z135" s="640"/>
      <c r="AA135" s="1022"/>
      <c r="AB135" s="637"/>
      <c r="AC135" s="637"/>
      <c r="AD135" s="637"/>
      <c r="AE135" s="139"/>
      <c r="AF135" s="642"/>
      <c r="AG135" s="583"/>
      <c r="AH135" s="139"/>
      <c r="AI135" s="637"/>
      <c r="AJ135" s="139"/>
      <c r="AK135" s="416" t="str">
        <f t="shared" si="23"/>
        <v/>
      </c>
      <c r="AL135" s="642"/>
      <c r="AM135" s="637"/>
      <c r="AN135" s="637"/>
      <c r="AO135" s="139"/>
      <c r="AP135" s="647"/>
      <c r="AQ135" s="789"/>
      <c r="AR135" s="789"/>
      <c r="AS135" s="790"/>
    </row>
    <row r="136" spans="1:45" x14ac:dyDescent="0.25">
      <c r="A136" s="628"/>
      <c r="B136" s="668" t="s">
        <v>297</v>
      </c>
      <c r="C136" s="668" t="s">
        <v>297</v>
      </c>
      <c r="D136" s="668" t="s">
        <v>297</v>
      </c>
      <c r="E136" s="710"/>
      <c r="F136" s="711"/>
      <c r="G136" s="668"/>
      <c r="H136" s="712"/>
      <c r="I136" s="712"/>
      <c r="J136" s="712"/>
      <c r="K136" s="712"/>
      <c r="L136" s="712"/>
      <c r="M136" s="712"/>
      <c r="N136" s="712"/>
      <c r="O136" s="712"/>
      <c r="P136" s="712"/>
      <c r="Q136" s="712"/>
      <c r="R136" s="712"/>
      <c r="S136" s="712"/>
      <c r="T136" s="712"/>
      <c r="U136" s="712"/>
      <c r="V136" s="712"/>
      <c r="W136" s="712"/>
      <c r="X136" s="760" t="str">
        <f t="shared" si="22"/>
        <v/>
      </c>
      <c r="Y136" s="713"/>
      <c r="Z136" s="712"/>
      <c r="AA136" s="712"/>
      <c r="AB136" s="638"/>
      <c r="AC136" s="638"/>
      <c r="AD136" s="638"/>
      <c r="AE136" s="629"/>
      <c r="AF136" s="666"/>
      <c r="AG136" s="666"/>
      <c r="AH136" s="629"/>
      <c r="AI136" s="638"/>
      <c r="AJ136" s="629"/>
      <c r="AK136" s="639" t="str">
        <f t="shared" si="23"/>
        <v/>
      </c>
      <c r="AL136" s="644"/>
      <c r="AM136" s="638"/>
      <c r="AN136" s="638"/>
      <c r="AO136" s="629"/>
      <c r="AP136" s="648"/>
      <c r="AQ136" s="791"/>
      <c r="AR136" s="791"/>
      <c r="AS136" s="792"/>
    </row>
    <row r="137" spans="1:45" ht="14.45" customHeight="1" x14ac:dyDescent="0.25">
      <c r="A137" s="261"/>
      <c r="B137" s="510" t="s">
        <v>297</v>
      </c>
      <c r="C137" s="510" t="s">
        <v>297</v>
      </c>
      <c r="D137" s="510" t="s">
        <v>297</v>
      </c>
      <c r="E137" s="704"/>
      <c r="F137" s="705"/>
      <c r="G137" s="510"/>
      <c r="H137" s="511"/>
      <c r="I137" s="261"/>
      <c r="J137" s="511"/>
      <c r="K137" s="511"/>
      <c r="L137" s="510"/>
      <c r="M137" s="510"/>
      <c r="N137" s="672"/>
      <c r="O137" s="514"/>
      <c r="P137" s="514" t="s">
        <v>297</v>
      </c>
      <c r="Q137" s="688"/>
      <c r="R137" s="674"/>
      <c r="S137" s="674"/>
      <c r="T137" s="674"/>
      <c r="U137" s="1022"/>
      <c r="V137" s="514"/>
      <c r="W137" s="675"/>
      <c r="X137" s="636" t="str">
        <f t="shared" si="22"/>
        <v/>
      </c>
      <c r="Y137" s="706"/>
      <c r="Z137" s="640"/>
      <c r="AA137" s="1022"/>
      <c r="AB137" s="637"/>
      <c r="AC137" s="637"/>
      <c r="AD137" s="637"/>
      <c r="AE137" s="139"/>
      <c r="AF137" s="642"/>
      <c r="AG137" s="583"/>
      <c r="AH137" s="139"/>
      <c r="AI137" s="637"/>
      <c r="AJ137" s="139"/>
      <c r="AK137" s="416" t="str">
        <f t="shared" si="23"/>
        <v/>
      </c>
      <c r="AL137" s="642"/>
      <c r="AM137" s="637"/>
      <c r="AN137" s="637"/>
      <c r="AO137" s="139"/>
      <c r="AP137" s="647"/>
      <c r="AQ137" s="789"/>
      <c r="AR137" s="789"/>
      <c r="AS137" s="790"/>
    </row>
    <row r="138" spans="1:45" ht="30" x14ac:dyDescent="0.25">
      <c r="A138" s="261" t="s">
        <v>685</v>
      </c>
      <c r="B138" s="510">
        <v>37.991880999999999</v>
      </c>
      <c r="C138" s="510">
        <v>-78.496061999999995</v>
      </c>
      <c r="D138" s="510" t="s">
        <v>296</v>
      </c>
      <c r="E138" s="511">
        <v>347.01</v>
      </c>
      <c r="F138" s="669">
        <v>40704</v>
      </c>
      <c r="G138" s="510" t="s">
        <v>274</v>
      </c>
      <c r="H138" s="670"/>
      <c r="I138" s="511"/>
      <c r="J138" s="511" t="s">
        <v>530</v>
      </c>
      <c r="K138" s="511" t="s">
        <v>277</v>
      </c>
      <c r="L138" s="261"/>
      <c r="M138" s="671">
        <f>N138+O138+P138</f>
        <v>3.4220537931587001</v>
      </c>
      <c r="N138" s="672">
        <v>1.14577775355</v>
      </c>
      <c r="O138" s="514">
        <v>2.20094376583</v>
      </c>
      <c r="P138" s="514">
        <v>7.5332273778699999E-2</v>
      </c>
      <c r="Q138" s="673">
        <f>+N138/M138</f>
        <v>0.3348216664041388</v>
      </c>
      <c r="R138" s="674">
        <f>IF(L194="TT",(1.76*N138+0.5*O138+0.13*P138)-AF194,1.76*N138+0.5*O138+0.13*P138)</f>
        <v>3.1268339247542309</v>
      </c>
      <c r="S138" s="674">
        <f>IF(L194="TT",(M138*9.39+N138*6.99+O138*2.36)-AK194,M138*9.39+N138*6.99+O138*2.36)</f>
        <v>45.336298902433498</v>
      </c>
      <c r="T138" s="674">
        <f>IF(L194="TT",(M138*676.94+N138*101.08+O138*77.38)-AP194,M138*676.94+N138*101.08+O138*77.38)</f>
        <v>2602.6493386696102</v>
      </c>
      <c r="U138" s="1022" t="s">
        <v>278</v>
      </c>
      <c r="V138" s="514">
        <v>13300</v>
      </c>
      <c r="W138" s="675">
        <f>IF(V138="NA", 0, (V138)*12/N138/43560)</f>
        <v>3.1977509027191462</v>
      </c>
      <c r="X138" s="634" t="str">
        <f t="shared" si="22"/>
        <v>NA</v>
      </c>
      <c r="Y138" s="676">
        <f>IF(X138="NA",0,R138*X138)</f>
        <v>0</v>
      </c>
      <c r="Z138" s="635">
        <f>IF(ISNA(VLOOKUP(J138,'Efficiency Lookup'!$B$2:$C$38,2,FALSE)),0,(VLOOKUP(J138,'Efficiency Lookup'!$B$2:$C$38,2,FALSE)))</f>
        <v>0.4</v>
      </c>
      <c r="AA138" s="139">
        <f>R138*Z138</f>
        <v>1.2507335699016924</v>
      </c>
      <c r="AB138" s="635">
        <f>IF(ISNA(VLOOKUP(K138,'Efficiency Lookup'!$D$2:$E$35,2,FALSE)),0,VLOOKUP(K138,'Efficiency Lookup'!$D$2:$E$35,2,FALSE))</f>
        <v>0.45</v>
      </c>
      <c r="AC138" s="139">
        <f>R138*AB138</f>
        <v>1.4070752661394039</v>
      </c>
      <c r="AD138" s="649">
        <f>IF(U138="RR",IF((0.0304*(W138^5)-0.2619*(W138^4)+0.9161*(W138^3)-1.6837*(W138^2)+1.7072*W138-0.0091)&gt;0.85,0.85,IF((0.0304*(W138^5)-0.2619*(W138^4)+0.9161*(W138^3)-1.6837*(W138^2)+1.7072*W138-0.0091)&lt;0,0,(0.0304*(W138^5)-0.2619*(W138^4)+0.9161*(W138^3)-1.6837*(W138^2)+1.7072*W138-0.0091))),IF((0.0239*(W138^5)-0.2058*(W138^4)+0.7198*(W138^3)-1.3229*(W138^2)+1.3414*W138-0.0072)&gt;0.65,0.65,IF((0.0239*(W138^5)-0.2058*(W138^4)+0.7198*(W138^3)-1.3229*(W138^2)+1.3414*W138-0.0072)&lt;0,0,(0.0239*(W138^5)-0.2058*(W138^4)+0.7198*(W138^3)-1.3229*(W138^2)+1.3414*W138-0.0072))))</f>
        <v>0.65</v>
      </c>
      <c r="AE138" s="1022">
        <f>R138*AD138</f>
        <v>2.0324420510902503</v>
      </c>
      <c r="AF138" s="516">
        <f>MAX(Y138,AA138,AC138,AE138)</f>
        <v>2.0324420510902503</v>
      </c>
      <c r="AG138" s="634">
        <f>IF(ISNA(VLOOKUP(K138,'Efficiency Lookup'!$D$2:$G$35,3,FALSE)),0,VLOOKUP(K138,'Efficiency Lookup'!$D$2:$G$35,3,FALSE))</f>
        <v>0.2</v>
      </c>
      <c r="AH138" s="139">
        <f>S138*AG138</f>
        <v>9.0672597804866992</v>
      </c>
      <c r="AI138" s="649">
        <f>IF(U138="RR",IF((0.0308*(W138^5)-0.2562*(W138^4)+0.8634*(W138^3)-1.5285*(W138^2)+1.501*W138-0.013)&gt;0.7,0.7,IF((0.0308*(W138^5)-0.2562*(W138^4)+0.8634*(W138^3)-1.5285*(W138^2)+1.501*W138-0.013)&lt;0,0,(0.0308*(W138^5)-0.2562*(W138^4)+0.8634*(W138^3)-1.5285*(W138^2)+1.501*W138-0.013))),IF((0.0152*(W138^5)-0.131*(W138^4)+0.4581*(W138^3)-0.8418*(W138^2)+0.8536*W138-0.0046)&gt;0.65,0.65,IF((0.0152*(W138^5)-0.131*(W138^4)+0.4581*(W138^3)-0.8418*(W138^2)+0.8536*W138-0.0046)&lt;0,0,(0.0152*(W138^5)-0.131*(W138^4)+0.4581*(W138^3)-0.8418*(W138^2)+0.8536*W138-0.0046))))</f>
        <v>0.48107990417125229</v>
      </c>
      <c r="AJ138" s="1022">
        <f>S138*AI138</f>
        <v>21.810382331461959</v>
      </c>
      <c r="AK138" s="416">
        <f t="shared" si="23"/>
        <v>21.810382331461959</v>
      </c>
      <c r="AL138" s="634">
        <f>IF(ISNA(VLOOKUP(K138,'Efficiency Lookup'!$D$2:$G$35,4,FALSE)),0,VLOOKUP(K138,'Efficiency Lookup'!$D$2:$G$35,4,FALSE))</f>
        <v>0.6</v>
      </c>
      <c r="AM138" s="139">
        <f>T138*AL138</f>
        <v>1561.5896032017661</v>
      </c>
      <c r="AN138" s="649">
        <f>IF(U138="RR",IF((0.0326*(W138^5)-0.2806*(W138^4)+0.9816*(W138^3)-1.8039*(W138^2)+1.8292*W138-0.0098)&gt;0.85,0.85,IF((0.0326*(W138^5)-0.2806*(W138^4)+0.9816*(W138^3)-1.8039*(W138^2)+1.8292*W138-0.0098)&lt;0,0,(0.0326*(W138^5)-0.2806*(W138^4)+0.9816*(W138^3)-1.8039*(W138^2)+1.8292*W138-0.0098))),IF((0.0304*(W138^5)-0.2619*(W138^4)+0.9161*(W138^3)-1.6837*(W138^2)+1.7072*W138-0.0091)&gt;0.8,0.8,IF((0.0304*(W138^5)-0.2619*(W138^4)+0.9161*(W138^3)-1.6837*(W138^2)+1.7072*W138-0.0091)&lt;0,0,(0.0304*(W138^5)-0.2619*(W138^4)+0.9161*(W138^3)-1.6837*(W138^2)+1.7072*W138-0.0091))))</f>
        <v>0.8</v>
      </c>
      <c r="AO138" s="1022">
        <f>T138*AN138</f>
        <v>2082.1194709356882</v>
      </c>
      <c r="AP138" s="647">
        <f>IF(AK138=AH138,AM138,AO138)</f>
        <v>2082.1194709356882</v>
      </c>
      <c r="AQ138" s="789">
        <f>IF(AF138&lt;0,0,AF138)</f>
        <v>2.0324420510902503</v>
      </c>
      <c r="AR138" s="789">
        <f>IF(AK138&lt;0,0,AK138)</f>
        <v>21.810382331461959</v>
      </c>
      <c r="AS138" s="790">
        <f>IF(AP138&lt;0,0,AP138)</f>
        <v>2082.1194709356882</v>
      </c>
    </row>
    <row r="139" spans="1:45" x14ac:dyDescent="0.25">
      <c r="A139" s="261"/>
      <c r="B139" s="510" t="s">
        <v>297</v>
      </c>
      <c r="C139" s="510" t="s">
        <v>297</v>
      </c>
      <c r="D139" s="510" t="s">
        <v>297</v>
      </c>
      <c r="E139" s="511"/>
      <c r="F139" s="705"/>
      <c r="G139" s="510"/>
      <c r="H139" s="511"/>
      <c r="I139" s="261" t="str">
        <f>IF(G139="","",IF(G139="Proprietary","Filterra","Clearinghouse Not Used"))</f>
        <v/>
      </c>
      <c r="J139" s="511"/>
      <c r="K139" s="511"/>
      <c r="L139" s="510"/>
      <c r="M139" s="510"/>
      <c r="N139" s="672"/>
      <c r="O139" s="514"/>
      <c r="P139" s="514" t="s">
        <v>297</v>
      </c>
      <c r="Q139" s="688"/>
      <c r="R139" s="674"/>
      <c r="S139" s="674"/>
      <c r="T139" s="674"/>
      <c r="U139" s="1022"/>
      <c r="V139" s="514"/>
      <c r="W139" s="675"/>
      <c r="X139" s="636" t="str">
        <f t="shared" si="22"/>
        <v/>
      </c>
      <c r="Y139" s="706"/>
      <c r="Z139" s="640"/>
      <c r="AA139" s="1022"/>
      <c r="AB139" s="637"/>
      <c r="AC139" s="637"/>
      <c r="AD139" s="637"/>
      <c r="AE139" s="139"/>
      <c r="AF139" s="642"/>
      <c r="AG139" s="583"/>
      <c r="AH139" s="139"/>
      <c r="AI139" s="637"/>
      <c r="AJ139" s="139"/>
      <c r="AK139" s="416" t="str">
        <f t="shared" si="23"/>
        <v/>
      </c>
      <c r="AL139" s="642"/>
      <c r="AM139" s="637"/>
      <c r="AN139" s="637"/>
      <c r="AO139" s="139"/>
      <c r="AP139" s="647"/>
      <c r="AQ139" s="789"/>
      <c r="AR139" s="789"/>
      <c r="AS139" s="790"/>
    </row>
    <row r="140" spans="1:45" x14ac:dyDescent="0.25">
      <c r="A140" s="628"/>
      <c r="B140" s="668" t="s">
        <v>297</v>
      </c>
      <c r="C140" s="668" t="s">
        <v>297</v>
      </c>
      <c r="D140" s="668" t="s">
        <v>297</v>
      </c>
      <c r="E140" s="710"/>
      <c r="F140" s="711"/>
      <c r="G140" s="668"/>
      <c r="H140" s="712"/>
      <c r="I140" s="712" t="str">
        <f>IF(G140="","",IF(G140="Proprietary","Filterra","Clearinghouse Not Used"))</f>
        <v/>
      </c>
      <c r="J140" s="712"/>
      <c r="K140" s="712"/>
      <c r="L140" s="712"/>
      <c r="M140" s="712"/>
      <c r="N140" s="712"/>
      <c r="O140" s="712"/>
      <c r="P140" s="712"/>
      <c r="Q140" s="712"/>
      <c r="R140" s="712"/>
      <c r="S140" s="712"/>
      <c r="T140" s="712"/>
      <c r="U140" s="712"/>
      <c r="V140" s="712"/>
      <c r="W140" s="712"/>
      <c r="X140" s="760" t="str">
        <f t="shared" si="22"/>
        <v/>
      </c>
      <c r="Y140" s="713"/>
      <c r="Z140" s="712"/>
      <c r="AA140" s="712"/>
      <c r="AB140" s="638"/>
      <c r="AC140" s="638"/>
      <c r="AD140" s="638"/>
      <c r="AE140" s="629"/>
      <c r="AF140" s="666"/>
      <c r="AG140" s="666"/>
      <c r="AH140" s="629"/>
      <c r="AI140" s="638"/>
      <c r="AJ140" s="629"/>
      <c r="AK140" s="639" t="str">
        <f t="shared" si="23"/>
        <v/>
      </c>
      <c r="AL140" s="644"/>
      <c r="AM140" s="638"/>
      <c r="AN140" s="638"/>
      <c r="AO140" s="629"/>
      <c r="AP140" s="648"/>
      <c r="AQ140" s="791"/>
      <c r="AR140" s="791"/>
      <c r="AS140" s="792"/>
    </row>
    <row r="141" spans="1:45" ht="14.45" customHeight="1" x14ac:dyDescent="0.25">
      <c r="A141" s="261"/>
      <c r="B141" s="510" t="s">
        <v>297</v>
      </c>
      <c r="C141" s="510" t="s">
        <v>297</v>
      </c>
      <c r="D141" s="510" t="s">
        <v>297</v>
      </c>
      <c r="E141" s="704"/>
      <c r="F141" s="705"/>
      <c r="G141" s="510"/>
      <c r="H141" s="511"/>
      <c r="I141" s="261"/>
      <c r="J141" s="511"/>
      <c r="K141" s="511"/>
      <c r="L141" s="510"/>
      <c r="M141" s="510"/>
      <c r="N141" s="672"/>
      <c r="O141" s="514"/>
      <c r="P141" s="514" t="s">
        <v>297</v>
      </c>
      <c r="Q141" s="688"/>
      <c r="R141" s="674"/>
      <c r="S141" s="674"/>
      <c r="T141" s="674"/>
      <c r="U141" s="1022"/>
      <c r="V141" s="514"/>
      <c r="W141" s="675"/>
      <c r="X141" s="636" t="str">
        <f t="shared" si="22"/>
        <v/>
      </c>
      <c r="Y141" s="706"/>
      <c r="Z141" s="640"/>
      <c r="AA141" s="1022"/>
      <c r="AB141" s="637"/>
      <c r="AC141" s="637"/>
      <c r="AD141" s="637"/>
      <c r="AE141" s="139"/>
      <c r="AF141" s="642"/>
      <c r="AG141" s="583"/>
      <c r="AH141" s="139"/>
      <c r="AI141" s="637"/>
      <c r="AJ141" s="139"/>
      <c r="AK141" s="416" t="str">
        <f t="shared" si="23"/>
        <v/>
      </c>
      <c r="AL141" s="642"/>
      <c r="AM141" s="637"/>
      <c r="AN141" s="637"/>
      <c r="AO141" s="139"/>
      <c r="AP141" s="647"/>
      <c r="AQ141" s="789"/>
      <c r="AR141" s="789"/>
      <c r="AS141" s="790"/>
    </row>
    <row r="142" spans="1:45" ht="30" x14ac:dyDescent="0.25">
      <c r="A142" s="261" t="s">
        <v>686</v>
      </c>
      <c r="B142" s="510">
        <v>38.003230000000002</v>
      </c>
      <c r="C142" s="510">
        <v>-78.499362000000005</v>
      </c>
      <c r="D142" s="510" t="s">
        <v>296</v>
      </c>
      <c r="E142" s="511">
        <v>275.01</v>
      </c>
      <c r="F142" s="669">
        <v>39035</v>
      </c>
      <c r="G142" s="510" t="s">
        <v>281</v>
      </c>
      <c r="H142" s="511"/>
      <c r="I142" s="511"/>
      <c r="J142" s="511" t="s">
        <v>343</v>
      </c>
      <c r="K142" s="511" t="s">
        <v>315</v>
      </c>
      <c r="L142" s="261"/>
      <c r="M142" s="514">
        <f>N142+O142+P142</f>
        <v>1.6301632479347499</v>
      </c>
      <c r="N142" s="672">
        <v>0.88962881512275005</v>
      </c>
      <c r="O142" s="514">
        <v>0.35162005966999998</v>
      </c>
      <c r="P142" s="514">
        <v>0.388914373142</v>
      </c>
      <c r="Q142" s="673">
        <f>+N142/M142</f>
        <v>0.54572989315629505</v>
      </c>
      <c r="R142" s="674">
        <f>IF(L141="TT",(1.76*N142+0.5*O142+0.13*P142)-AF141,1.76*N142+0.5*O142+0.13*P142)</f>
        <v>1.7921156129595002</v>
      </c>
      <c r="S142" s="674">
        <f>IF(L141="TT",(M142*9.39+N142*6.99+O142*2.36)-AK141,M142*9.39+N142*6.99+O142*2.36)</f>
        <v>22.355561656636525</v>
      </c>
      <c r="T142" s="674">
        <f>IF(L141="TT",(M142*676.94+N142*101.08+O142*77.38)-AP141,M142*676.94+N142*101.08+O142*77.38)</f>
        <v>1220.6547499068217</v>
      </c>
      <c r="U142" s="1022" t="s">
        <v>285</v>
      </c>
      <c r="V142" s="514">
        <v>398.48687999999999</v>
      </c>
      <c r="W142" s="675">
        <f>IF(V142="NA", 0, (V142)*12/N142/43560)</f>
        <v>0.12339528366654043</v>
      </c>
      <c r="X142" s="634" t="str">
        <f t="shared" si="22"/>
        <v>NA</v>
      </c>
      <c r="Y142" s="676">
        <f>IF(X142="NA",0,R142*X142)</f>
        <v>0</v>
      </c>
      <c r="Z142" s="635">
        <f>IF(ISNA(VLOOKUP(J142,'Efficiency Lookup'!$B$2:$C$38,2,FALSE)),0,(VLOOKUP(J142,'Efficiency Lookup'!$B$2:$C$38,2,FALSE)))</f>
        <v>0.5</v>
      </c>
      <c r="AA142" s="139">
        <f>R142*Z142</f>
        <v>0.89605780647975009</v>
      </c>
      <c r="AB142" s="640">
        <f>IF(ISNA(VLOOKUP(K142,'Efficiency Lookup'!$D$2:$E$35,2,FALSE)),0,VLOOKUP(K142,'Efficiency Lookup'!$D$2:$E$35,2,FALSE))</f>
        <v>0.75</v>
      </c>
      <c r="AC142" s="1022">
        <f>R142*AB142</f>
        <v>1.3440867097196252</v>
      </c>
      <c r="AD142" s="637">
        <f>IF(U142="RR",IF((0.0304*(W142^5)-0.2619*(W142^4)+0.9161*(W142^3)-1.6837*(W142^2)+1.7072*W142-0.0091)&gt;0.85,0.85,IF((0.0304*(W142^5)-0.2619*(W142^4)+0.9161*(W142^3)-1.6837*(W142^2)+1.7072*W142-0.0091)&lt;0,0,(0.0304*(W142^5)-0.2619*(W142^4)+0.9161*(W142^3)-1.6837*(W142^2)+1.7072*W142-0.0091))),IF((0.0239*(W142^5)-0.2058*(W142^4)+0.7198*(W142^3)-1.3229*(W142^2)+1.3414*W142-0.0072)&gt;0.65,0.65,IF((0.0239*(W142^5)-0.2058*(W142^4)+0.7198*(W142^3)-1.3229*(W142^2)+1.3414*W142-0.0072)&lt;0,0,(0.0239*(W142^5)-0.2058*(W142^4)+0.7198*(W142^3)-1.3229*(W142^2)+1.3414*W142-0.0072))))</f>
        <v>0.17758512389995917</v>
      </c>
      <c r="AE142" s="139">
        <f>R142*AD142</f>
        <v>0.31825307317046414</v>
      </c>
      <c r="AF142" s="516">
        <f>MAX(Y142,AA142,AC142,AE142)</f>
        <v>1.3440867097196252</v>
      </c>
      <c r="AG142" s="636">
        <f>IF(ISNA(VLOOKUP(K142,'Efficiency Lookup'!$D$2:$G$35,3,FALSE)),0,VLOOKUP(K142,'Efficiency Lookup'!$D$2:$G$35,3,FALSE))</f>
        <v>0.7</v>
      </c>
      <c r="AH142" s="1022">
        <f>S142*AG142</f>
        <v>15.648893159645565</v>
      </c>
      <c r="AI142" s="637">
        <f>IF(U142="RR",IF((0.0308*(W142^5)-0.2562*(W142^4)+0.8634*(W142^3)-1.5285*(W142^2)+1.501*W142-0.013)&gt;0.7,0.7,IF((0.0308*(W142^5)-0.2562*(W142^4)+0.8634*(W142^3)-1.5285*(W142^2)+1.501*W142-0.013)&lt;0,0,(0.0308*(W142^5)-0.2562*(W142^4)+0.8634*(W142^3)-1.5285*(W142^2)+1.501*W142-0.013))),IF((0.0152*(W142^5)-0.131*(W142^4)+0.4581*(W142^3)-0.8418*(W142^2)+0.8536*W142-0.0046)&gt;0.65,0.65,IF((0.0152*(W142^5)-0.131*(W142^4)+0.4581*(W142^3)-0.8418*(W142^2)+0.8536*W142-0.0046)&lt;0,0,(0.0152*(W142^5)-0.131*(W142^4)+0.4581*(W142^3)-0.8418*(W142^2)+0.8536*W142-0.0046))))</f>
        <v>0.15050646981155863</v>
      </c>
      <c r="AJ142" s="139">
        <f>S142*AI142</f>
        <v>3.3646566655950028</v>
      </c>
      <c r="AK142" s="416">
        <f t="shared" si="23"/>
        <v>15.648893159645565</v>
      </c>
      <c r="AL142" s="641">
        <f>IF(ISNA(VLOOKUP(K142,'Efficiency Lookup'!$D$2:$G$35,4,FALSE)),0,VLOOKUP(K142,'Efficiency Lookup'!$D$2:$G$35,4,FALSE))</f>
        <v>0.8</v>
      </c>
      <c r="AM142" s="1022">
        <f>T142*AL142</f>
        <v>976.52379992545741</v>
      </c>
      <c r="AN142" s="637">
        <f>IF(U142="RR",IF((0.0326*(W142^5)-0.2806*(W142^4)+0.9816*(W142^3)-1.8039*(W142^2)+1.8292*W142-0.0098)&gt;0.85,0.85,IF((0.0326*(W142^5)-0.2806*(W142^4)+0.9816*(W142^3)-1.8039*(W142^2)+1.8292*W142-0.0098)&lt;0,0,(0.0326*(W142^5)-0.2806*(W142^4)+0.9816*(W142^3)-1.8039*(W142^2)+1.8292*W142-0.0098))),IF((0.0304*(W142^5)-0.2619*(W142^4)+0.9161*(W142^3)-1.6837*(W142^2)+1.7072*W142-0.0091)&gt;0.8,0.8,IF((0.0304*(W142^5)-0.2619*(W142^4)+0.9161*(W142^3)-1.6837*(W142^2)+1.7072*W142-0.0091)&lt;0,0,(0.0304*(W142^5)-0.2619*(W142^4)+0.9161*(W142^3)-1.6837*(W142^2)+1.7072*W142-0.0091))))</f>
        <v>0.19022792886352244</v>
      </c>
      <c r="AO142" s="139">
        <f>T142*AN142</f>
        <v>232.20262493219565</v>
      </c>
      <c r="AP142" s="647">
        <f>IF(AK142=AH142,AM142,AO142)</f>
        <v>976.52379992545741</v>
      </c>
      <c r="AQ142" s="789">
        <f>IF(AF142&lt;0,0,AF142)</f>
        <v>1.3440867097196252</v>
      </c>
      <c r="AR142" s="789">
        <f>IF(AK142&lt;0,0,AK142)</f>
        <v>15.648893159645565</v>
      </c>
      <c r="AS142" s="790">
        <f>IF(AP142&lt;0,0,AP142)</f>
        <v>976.52379992545741</v>
      </c>
    </row>
    <row r="143" spans="1:45" x14ac:dyDescent="0.25">
      <c r="A143" s="261"/>
      <c r="B143" s="510" t="s">
        <v>297</v>
      </c>
      <c r="C143" s="510" t="s">
        <v>297</v>
      </c>
      <c r="D143" s="510" t="s">
        <v>297</v>
      </c>
      <c r="E143" s="511"/>
      <c r="F143" s="705"/>
      <c r="G143" s="510"/>
      <c r="H143" s="511"/>
      <c r="I143" s="261"/>
      <c r="J143" s="511"/>
      <c r="K143" s="511"/>
      <c r="L143" s="510"/>
      <c r="M143" s="510"/>
      <c r="N143" s="672"/>
      <c r="O143" s="514"/>
      <c r="P143" s="514" t="s">
        <v>297</v>
      </c>
      <c r="Q143" s="688"/>
      <c r="R143" s="674"/>
      <c r="S143" s="674"/>
      <c r="T143" s="674"/>
      <c r="U143" s="1022"/>
      <c r="V143" s="514"/>
      <c r="W143" s="675"/>
      <c r="X143" s="636" t="str">
        <f t="shared" si="22"/>
        <v/>
      </c>
      <c r="Y143" s="706"/>
      <c r="Z143" s="640"/>
      <c r="AA143" s="1022"/>
      <c r="AB143" s="637"/>
      <c r="AC143" s="637"/>
      <c r="AD143" s="637"/>
      <c r="AE143" s="139"/>
      <c r="AF143" s="642"/>
      <c r="AG143" s="583"/>
      <c r="AH143" s="139"/>
      <c r="AI143" s="637"/>
      <c r="AJ143" s="139"/>
      <c r="AK143" s="416" t="str">
        <f t="shared" si="23"/>
        <v/>
      </c>
      <c r="AL143" s="642"/>
      <c r="AM143" s="637"/>
      <c r="AN143" s="637"/>
      <c r="AO143" s="139"/>
      <c r="AP143" s="647"/>
      <c r="AQ143" s="789"/>
      <c r="AR143" s="789"/>
      <c r="AS143" s="790"/>
    </row>
    <row r="144" spans="1:45" x14ac:dyDescent="0.25">
      <c r="A144" s="628"/>
      <c r="B144" s="668" t="s">
        <v>297</v>
      </c>
      <c r="C144" s="668" t="s">
        <v>297</v>
      </c>
      <c r="D144" s="668" t="s">
        <v>297</v>
      </c>
      <c r="E144" s="710"/>
      <c r="F144" s="711"/>
      <c r="G144" s="668"/>
      <c r="H144" s="712"/>
      <c r="I144" s="712"/>
      <c r="J144" s="712"/>
      <c r="K144" s="712"/>
      <c r="L144" s="712"/>
      <c r="M144" s="712"/>
      <c r="N144" s="712"/>
      <c r="O144" s="712"/>
      <c r="P144" s="712"/>
      <c r="Q144" s="712"/>
      <c r="R144" s="712"/>
      <c r="S144" s="712"/>
      <c r="T144" s="712"/>
      <c r="U144" s="712"/>
      <c r="V144" s="712"/>
      <c r="W144" s="712"/>
      <c r="X144" s="760" t="str">
        <f t="shared" si="22"/>
        <v/>
      </c>
      <c r="Y144" s="713"/>
      <c r="Z144" s="712"/>
      <c r="AA144" s="712"/>
      <c r="AB144" s="638"/>
      <c r="AC144" s="638"/>
      <c r="AD144" s="638"/>
      <c r="AE144" s="629"/>
      <c r="AF144" s="666"/>
      <c r="AG144" s="666"/>
      <c r="AH144" s="629"/>
      <c r="AI144" s="638"/>
      <c r="AJ144" s="629"/>
      <c r="AK144" s="639" t="str">
        <f t="shared" ref="AK144:AK175" si="47">IF(AJ144="","",IF(OR(AF144=Y144,AF144=AA144),MAX(AH144,AJ144),IF(AF144=AC144,AH144,IF(AF144=AE144,AJ144))))</f>
        <v/>
      </c>
      <c r="AL144" s="644"/>
      <c r="AM144" s="638"/>
      <c r="AN144" s="638"/>
      <c r="AO144" s="629"/>
      <c r="AP144" s="648"/>
      <c r="AQ144" s="791"/>
      <c r="AR144" s="791"/>
      <c r="AS144" s="792"/>
    </row>
    <row r="145" spans="1:45" ht="14.45" customHeight="1" x14ac:dyDescent="0.25">
      <c r="A145" s="261"/>
      <c r="B145" s="510" t="s">
        <v>297</v>
      </c>
      <c r="C145" s="510" t="s">
        <v>297</v>
      </c>
      <c r="D145" s="510" t="s">
        <v>297</v>
      </c>
      <c r="E145" s="704"/>
      <c r="F145" s="705"/>
      <c r="G145" s="510"/>
      <c r="H145" s="511"/>
      <c r="I145" s="261"/>
      <c r="J145" s="511"/>
      <c r="K145" s="511"/>
      <c r="L145" s="510"/>
      <c r="M145" s="510"/>
      <c r="N145" s="672"/>
      <c r="O145" s="514"/>
      <c r="P145" s="514" t="s">
        <v>297</v>
      </c>
      <c r="Q145" s="688"/>
      <c r="R145" s="674"/>
      <c r="S145" s="674"/>
      <c r="T145" s="674"/>
      <c r="U145" s="1022"/>
      <c r="V145" s="514"/>
      <c r="W145" s="675"/>
      <c r="X145" s="636" t="str">
        <f t="shared" ref="X145:X208" si="48">IF(W145="","",IF(I145="Filterra",0.5,IF(I145="Stormfilter",0.45,"NA")))</f>
        <v/>
      </c>
      <c r="Y145" s="706"/>
      <c r="Z145" s="640"/>
      <c r="AA145" s="1022"/>
      <c r="AB145" s="637"/>
      <c r="AC145" s="637"/>
      <c r="AD145" s="637"/>
      <c r="AE145" s="139"/>
      <c r="AF145" s="642"/>
      <c r="AG145" s="583"/>
      <c r="AH145" s="139"/>
      <c r="AI145" s="637"/>
      <c r="AJ145" s="139"/>
      <c r="AK145" s="416" t="str">
        <f t="shared" si="47"/>
        <v/>
      </c>
      <c r="AL145" s="642"/>
      <c r="AM145" s="637"/>
      <c r="AN145" s="637"/>
      <c r="AO145" s="139"/>
      <c r="AP145" s="647"/>
      <c r="AQ145" s="789"/>
      <c r="AR145" s="789"/>
      <c r="AS145" s="790"/>
    </row>
    <row r="146" spans="1:45" ht="30" x14ac:dyDescent="0.25">
      <c r="A146" s="261" t="s">
        <v>687</v>
      </c>
      <c r="B146" s="510">
        <v>38.129468000000003</v>
      </c>
      <c r="C146" s="510">
        <v>-78.432354000000004</v>
      </c>
      <c r="D146" s="510" t="s">
        <v>296</v>
      </c>
      <c r="E146" s="511">
        <v>18.010000000000002</v>
      </c>
      <c r="F146" s="669">
        <v>41211</v>
      </c>
      <c r="G146" s="510" t="s">
        <v>281</v>
      </c>
      <c r="H146" s="670"/>
      <c r="I146" s="511"/>
      <c r="J146" s="511" t="s">
        <v>343</v>
      </c>
      <c r="K146" s="511" t="s">
        <v>315</v>
      </c>
      <c r="L146" s="671"/>
      <c r="M146" s="671">
        <f>N146+O146+P146</f>
        <v>5.76117991574956</v>
      </c>
      <c r="N146" s="672">
        <v>2.7962959497200002</v>
      </c>
      <c r="O146" s="514">
        <v>2.6449597502414899</v>
      </c>
      <c r="P146" s="514">
        <v>0.31992421578807001</v>
      </c>
      <c r="Q146" s="688">
        <f>+N146/M146</f>
        <v>0.48536862077083515</v>
      </c>
      <c r="R146" s="674">
        <f>IF(L145="TT",(1.76*N146+0.5*O146+0.13*P146)-AF145,1.76*N146+0.5*O146+0.13*P146)</f>
        <v>6.2855508946803944</v>
      </c>
      <c r="S146" s="674">
        <f>IF(L145="TT",(M146*9.39+N146*6.99+O146*2.36)-AK145,M146*9.39+N146*6.99+O146*2.36)</f>
        <v>79.885693108001092</v>
      </c>
      <c r="T146" s="674">
        <f>IF(L145="TT",(M146*676.94+N146*101.08+O146*77.38)-AP145,M146*676.94+N146*101.08+O146*77.38)</f>
        <v>4387.2897122388913</v>
      </c>
      <c r="U146" s="1022" t="s">
        <v>285</v>
      </c>
      <c r="V146" s="514">
        <v>32227.48</v>
      </c>
      <c r="W146" s="675">
        <f>IF(V146="NA", 0, (V146)*12/N146/43560)</f>
        <v>3.1749477964951565</v>
      </c>
      <c r="X146" s="634" t="str">
        <f t="shared" si="48"/>
        <v>NA</v>
      </c>
      <c r="Y146" s="676">
        <f>IF(X146="NA",0,R146*X146)</f>
        <v>0</v>
      </c>
      <c r="Z146" s="635">
        <f>IF(ISNA(VLOOKUP(J146,'Efficiency Lookup'!$B$2:$C$38,2,FALSE)),0,(VLOOKUP(J146,'Efficiency Lookup'!$B$2:$C$38,2,FALSE)))</f>
        <v>0.5</v>
      </c>
      <c r="AA146" s="139">
        <f>R146*Z146</f>
        <v>3.1427754473401972</v>
      </c>
      <c r="AB146" s="635">
        <f>IF(ISNA(VLOOKUP(K146,'Efficiency Lookup'!$D$2:$E$35,2,FALSE)),0,VLOOKUP(K146,'Efficiency Lookup'!$D$2:$E$35,2,FALSE))</f>
        <v>0.75</v>
      </c>
      <c r="AC146" s="139">
        <f>R146*AB146</f>
        <v>4.7141631710102958</v>
      </c>
      <c r="AD146" s="521">
        <f>IF(U146="RR",IF((0.0304*(W146^5)-0.2619*(W146^4)+0.9161*(W146^3)-1.6837*(W146^2)+1.7072*W146-0.0091)&gt;0.85,0.85,IF((0.0304*(W146^5)-0.2619*(W146^4)+0.9161*(W146^3)-1.6837*(W146^2)+1.7072*W146-0.0091)&lt;0,0,(0.0304*(W146^5)-0.2619*(W146^4)+0.9161*(W146^3)-1.6837*(W146^2)+1.7072*W146-0.0091))),IF((0.0239*(W146^5)-0.2058*(W146^4)+0.7198*(W146^3)-1.3229*(W146^2)+1.3414*W146-0.0072)&gt;0.65,0.65,IF((0.0239*(W146^5)-0.2058*(W146^4)+0.7198*(W146^3)-1.3229*(W146^2)+1.3414*W146-0.0072)&lt;0,0,(0.0239*(W146^5)-0.2058*(W146^4)+0.7198*(W146^3)-1.3229*(W146^2)+1.3414*W146-0.0072))))</f>
        <v>0.85</v>
      </c>
      <c r="AE146" s="1005">
        <f>R146*AD146</f>
        <v>5.3427182604783354</v>
      </c>
      <c r="AF146" s="516">
        <f>MAX(Y146,AA146,AC146,AE146)</f>
        <v>5.3427182604783354</v>
      </c>
      <c r="AG146" s="634">
        <f>IF(ISNA(VLOOKUP(K146,'Efficiency Lookup'!$D$2:$G$35,3,FALSE)),0,VLOOKUP(K146,'Efficiency Lookup'!$D$2:$G$35,3,FALSE))</f>
        <v>0.7</v>
      </c>
      <c r="AH146" s="139">
        <f>S146*AG146</f>
        <v>55.919985175600765</v>
      </c>
      <c r="AI146" s="521">
        <f>IF(U146="RR",IF((0.0308*(W146^5)-0.2562*(W146^4)+0.8634*(W146^3)-1.5285*(W146^2)+1.501*W146-0.013)&gt;0.7,0.7,IF((0.0308*(W146^5)-0.2562*(W146^4)+0.8634*(W146^3)-1.5285*(W146^2)+1.501*W146-0.013)&lt;0,0,(0.0308*(W146^5)-0.2562*(W146^4)+0.8634*(W146^3)-1.5285*(W146^2)+1.501*W146-0.013))),IF((0.0152*(W146^5)-0.131*(W146^4)+0.4581*(W146^3)-0.8418*(W146^2)+0.8536*W146-0.0046)&gt;0.65,0.65,IF((0.0152*(W146^5)-0.131*(W146^4)+0.4581*(W146^3)-0.8418*(W146^2)+0.8536*W146-0.0046)&lt;0,0,(0.0152*(W146^5)-0.131*(W146^4)+0.4581*(W146^3)-0.8418*(W146^2)+0.8536*W146-0.0046))))</f>
        <v>0.7</v>
      </c>
      <c r="AJ146" s="1005">
        <f>S146*AI146</f>
        <v>55.919985175600765</v>
      </c>
      <c r="AK146" s="416">
        <f t="shared" si="47"/>
        <v>55.919985175600765</v>
      </c>
      <c r="AL146" s="634">
        <f>IF(ISNA(VLOOKUP(K146,'Efficiency Lookup'!$D$2:$G$35,4,FALSE)),0,VLOOKUP(K146,'Efficiency Lookup'!$D$2:$G$35,4,FALSE))</f>
        <v>0.8</v>
      </c>
      <c r="AM146" s="139">
        <f>T146*AL146</f>
        <v>3509.8317697911134</v>
      </c>
      <c r="AN146" s="521">
        <f>IF(U146="RR",IF((0.0326*(W146^5)-0.2806*(W146^4)+0.9816*(W146^3)-1.8039*(W146^2)+1.8292*W146-0.0098)&gt;0.85,0.85,IF((0.0326*(W146^5)-0.2806*(W146^4)+0.9816*(W146^3)-1.8039*(W146^2)+1.8292*W146-0.0098)&lt;0,0,(0.0326*(W146^5)-0.2806*(W146^4)+0.9816*(W146^3)-1.8039*(W146^2)+1.8292*W146-0.0098))),IF((0.0304*(W146^5)-0.2619*(W146^4)+0.9161*(W146^3)-1.6837*(W146^2)+1.7072*W146-0.0091)&gt;0.8,0.8,IF((0.0304*(W146^5)-0.2619*(W146^4)+0.9161*(W146^3)-1.6837*(W146^2)+1.7072*W146-0.0091)&lt;0,0,(0.0304*(W146^5)-0.2619*(W146^4)+0.9161*(W146^3)-1.6837*(W146^2)+1.7072*W146-0.0091))))</f>
        <v>0.85</v>
      </c>
      <c r="AO146" s="1005">
        <f>T146*AN146</f>
        <v>3729.1962554030574</v>
      </c>
      <c r="AP146" s="647">
        <f>IF(AK146=AH146,AM146,AO146)</f>
        <v>3509.8317697911134</v>
      </c>
      <c r="AQ146" s="789">
        <f>IF(AF146&lt;0,0,AF146)</f>
        <v>5.3427182604783354</v>
      </c>
      <c r="AR146" s="789">
        <f>IF(AK146&lt;0,0,AK146)</f>
        <v>55.919985175600765</v>
      </c>
      <c r="AS146" s="790">
        <f>IF(AP146&lt;0,0,AP146)</f>
        <v>3509.8317697911134</v>
      </c>
    </row>
    <row r="147" spans="1:45" x14ac:dyDescent="0.25">
      <c r="A147" s="261"/>
      <c r="B147" s="510" t="s">
        <v>297</v>
      </c>
      <c r="C147" s="510" t="s">
        <v>297</v>
      </c>
      <c r="D147" s="510" t="s">
        <v>297</v>
      </c>
      <c r="E147" s="511"/>
      <c r="F147" s="705"/>
      <c r="G147" s="510"/>
      <c r="H147" s="511"/>
      <c r="I147" s="261"/>
      <c r="J147" s="511"/>
      <c r="K147" s="511"/>
      <c r="L147" s="510"/>
      <c r="M147" s="510"/>
      <c r="N147" s="672"/>
      <c r="O147" s="514"/>
      <c r="P147" s="514" t="s">
        <v>297</v>
      </c>
      <c r="Q147" s="688"/>
      <c r="R147" s="674"/>
      <c r="S147" s="674"/>
      <c r="T147" s="674"/>
      <c r="U147" s="1022"/>
      <c r="V147" s="514"/>
      <c r="W147" s="675"/>
      <c r="X147" s="636" t="str">
        <f t="shared" si="48"/>
        <v/>
      </c>
      <c r="Y147" s="706"/>
      <c r="Z147" s="640"/>
      <c r="AA147" s="1022"/>
      <c r="AB147" s="637"/>
      <c r="AC147" s="637"/>
      <c r="AD147" s="637"/>
      <c r="AE147" s="139"/>
      <c r="AF147" s="642"/>
      <c r="AG147" s="583"/>
      <c r="AH147" s="139"/>
      <c r="AI147" s="637"/>
      <c r="AJ147" s="139"/>
      <c r="AK147" s="416" t="str">
        <f t="shared" si="47"/>
        <v/>
      </c>
      <c r="AL147" s="642"/>
      <c r="AM147" s="637"/>
      <c r="AN147" s="637"/>
      <c r="AO147" s="139"/>
      <c r="AP147" s="647"/>
      <c r="AQ147" s="789"/>
      <c r="AR147" s="789"/>
      <c r="AS147" s="790"/>
    </row>
    <row r="148" spans="1:45" x14ac:dyDescent="0.25">
      <c r="A148" s="628"/>
      <c r="B148" s="668" t="s">
        <v>297</v>
      </c>
      <c r="C148" s="668" t="s">
        <v>297</v>
      </c>
      <c r="D148" s="668" t="s">
        <v>297</v>
      </c>
      <c r="E148" s="710"/>
      <c r="F148" s="711"/>
      <c r="G148" s="668"/>
      <c r="H148" s="712"/>
      <c r="I148" s="712"/>
      <c r="J148" s="712"/>
      <c r="K148" s="712"/>
      <c r="L148" s="712"/>
      <c r="M148" s="712"/>
      <c r="N148" s="712"/>
      <c r="O148" s="712"/>
      <c r="P148" s="712"/>
      <c r="Q148" s="712"/>
      <c r="R148" s="712"/>
      <c r="S148" s="712"/>
      <c r="T148" s="712"/>
      <c r="U148" s="712"/>
      <c r="V148" s="712"/>
      <c r="W148" s="712"/>
      <c r="X148" s="760" t="str">
        <f t="shared" si="48"/>
        <v/>
      </c>
      <c r="Y148" s="713"/>
      <c r="Z148" s="712"/>
      <c r="AA148" s="712"/>
      <c r="AB148" s="638"/>
      <c r="AC148" s="638"/>
      <c r="AD148" s="638"/>
      <c r="AE148" s="629"/>
      <c r="AF148" s="666"/>
      <c r="AG148" s="666"/>
      <c r="AH148" s="629"/>
      <c r="AI148" s="638"/>
      <c r="AJ148" s="629"/>
      <c r="AK148" s="639" t="str">
        <f t="shared" si="47"/>
        <v/>
      </c>
      <c r="AL148" s="644"/>
      <c r="AM148" s="638"/>
      <c r="AN148" s="638"/>
      <c r="AO148" s="629"/>
      <c r="AP148" s="648"/>
      <c r="AQ148" s="791"/>
      <c r="AR148" s="791"/>
      <c r="AS148" s="792"/>
    </row>
    <row r="149" spans="1:45" ht="14.45" customHeight="1" x14ac:dyDescent="0.25">
      <c r="A149" s="261"/>
      <c r="B149" s="510" t="s">
        <v>297</v>
      </c>
      <c r="C149" s="510" t="s">
        <v>297</v>
      </c>
      <c r="D149" s="510" t="s">
        <v>297</v>
      </c>
      <c r="E149" s="704"/>
      <c r="F149" s="705"/>
      <c r="G149" s="510"/>
      <c r="H149" s="511"/>
      <c r="I149" s="261"/>
      <c r="J149" s="511"/>
      <c r="K149" s="511"/>
      <c r="L149" s="510"/>
      <c r="M149" s="510"/>
      <c r="N149" s="672"/>
      <c r="O149" s="514"/>
      <c r="P149" s="514" t="s">
        <v>297</v>
      </c>
      <c r="Q149" s="688"/>
      <c r="R149" s="674"/>
      <c r="S149" s="674"/>
      <c r="T149" s="674"/>
      <c r="U149" s="1022"/>
      <c r="V149" s="514"/>
      <c r="W149" s="675"/>
      <c r="X149" s="636" t="str">
        <f t="shared" si="48"/>
        <v/>
      </c>
      <c r="Y149" s="706"/>
      <c r="Z149" s="640"/>
      <c r="AA149" s="1022"/>
      <c r="AB149" s="637"/>
      <c r="AC149" s="637"/>
      <c r="AD149" s="637"/>
      <c r="AE149" s="139"/>
      <c r="AF149" s="642"/>
      <c r="AG149" s="583"/>
      <c r="AH149" s="139"/>
      <c r="AI149" s="637"/>
      <c r="AJ149" s="139"/>
      <c r="AK149" s="416" t="str">
        <f t="shared" si="47"/>
        <v/>
      </c>
      <c r="AL149" s="642"/>
      <c r="AM149" s="637"/>
      <c r="AN149" s="637"/>
      <c r="AO149" s="139"/>
      <c r="AP149" s="647"/>
      <c r="AQ149" s="789"/>
      <c r="AR149" s="789"/>
      <c r="AS149" s="790"/>
    </row>
    <row r="150" spans="1:45" ht="30" x14ac:dyDescent="0.25">
      <c r="A150" s="261" t="s">
        <v>418</v>
      </c>
      <c r="B150" s="510">
        <v>38.021225000000001</v>
      </c>
      <c r="C150" s="510">
        <v>-78.442504</v>
      </c>
      <c r="D150" s="510" t="s">
        <v>296</v>
      </c>
      <c r="E150" s="511">
        <v>142.01</v>
      </c>
      <c r="F150" s="669">
        <v>39762</v>
      </c>
      <c r="G150" s="510" t="s">
        <v>281</v>
      </c>
      <c r="H150" s="670"/>
      <c r="I150" s="670"/>
      <c r="J150" s="511" t="s">
        <v>343</v>
      </c>
      <c r="K150" s="511" t="s">
        <v>315</v>
      </c>
      <c r="L150" s="671"/>
      <c r="M150" s="671">
        <f>N150+O150+P150</f>
        <v>1.9075160155720972</v>
      </c>
      <c r="N150" s="672">
        <v>1.52038000602759</v>
      </c>
      <c r="O150" s="514">
        <v>0.387136009544507</v>
      </c>
      <c r="P150" s="514">
        <v>0</v>
      </c>
      <c r="Q150" s="673">
        <f>+N150/M150</f>
        <v>0.79704704632406542</v>
      </c>
      <c r="R150" s="674">
        <f>IF(L149="TT",(1.76*N150+0.5*O150+0.13*P150)-AF149,1.76*N150+0.5*O150+0.13*P150)</f>
        <v>2.8694368153808121</v>
      </c>
      <c r="S150" s="674">
        <f>IF(L149="TT",(M150*9.39+N150*6.99+O150*2.36)-AK149,M150*9.39+N150*6.99+O150*2.36)</f>
        <v>29.452672610879887</v>
      </c>
      <c r="T150" s="674">
        <f>IF(L149="TT",(M150*676.94+N150*101.08+O150*77.38)-AP149,M150*676.94+N150*101.08+O150*77.38)</f>
        <v>1474.9104870091985</v>
      </c>
      <c r="U150" s="1022" t="s">
        <v>285</v>
      </c>
      <c r="V150" s="514" t="s">
        <v>295</v>
      </c>
      <c r="W150" s="675">
        <f>IF(V150="NA", 0, (V150)*12/N150/43560)</f>
        <v>0</v>
      </c>
      <c r="X150" s="634" t="str">
        <f t="shared" si="48"/>
        <v>NA</v>
      </c>
      <c r="Y150" s="676">
        <f>IF(X150="NA",0,R150*X150)</f>
        <v>0</v>
      </c>
      <c r="Z150" s="635">
        <f>IF(ISNA(VLOOKUP(J150,'Efficiency Lookup'!$B$2:$C$38,2,FALSE)),0,(VLOOKUP(J150,'Efficiency Lookup'!$B$2:$C$38,2,FALSE)))</f>
        <v>0.5</v>
      </c>
      <c r="AA150" s="139">
        <f>R150*Z150</f>
        <v>1.434718407690406</v>
      </c>
      <c r="AB150" s="640">
        <f>IF(ISNA(VLOOKUP(K150,'Efficiency Lookup'!$D$2:$E$35,2,FALSE)),0,VLOOKUP(K150,'Efficiency Lookup'!$D$2:$E$35,2,FALSE))</f>
        <v>0.75</v>
      </c>
      <c r="AC150" s="1022">
        <f>R150*AB150</f>
        <v>2.1520776115356091</v>
      </c>
      <c r="AD150" s="637">
        <f>IF(U150="RR",IF((0.0304*(W150^5)-0.2619*(W150^4)+0.9161*(W150^3)-1.6837*(W150^2)+1.7072*W150-0.0091)&gt;0.85,0.85,IF((0.0304*(W150^5)-0.2619*(W150^4)+0.9161*(W150^3)-1.6837*(W150^2)+1.7072*W150-0.0091)&lt;0,0,(0.0304*(W150^5)-0.2619*(W150^4)+0.9161*(W150^3)-1.6837*(W150^2)+1.7072*W150-0.0091))),IF((0.0239*(W150^5)-0.2058*(W150^4)+0.7198*(W150^3)-1.3229*(W150^2)+1.3414*W150-0.0072)&gt;0.65,0.65,IF((0.0239*(W150^5)-0.2058*(W150^4)+0.7198*(W150^3)-1.3229*(W150^2)+1.3414*W150-0.0072)&lt;0,0,(0.0239*(W150^5)-0.2058*(W150^4)+0.7198*(W150^3)-1.3229*(W150^2)+1.3414*W150-0.0072))))</f>
        <v>0</v>
      </c>
      <c r="AE150" s="139">
        <f>R150*AD150</f>
        <v>0</v>
      </c>
      <c r="AF150" s="516">
        <f>MAX(Y150,AA150,AC150,AE150)</f>
        <v>2.1520776115356091</v>
      </c>
      <c r="AG150" s="636">
        <f>IF(ISNA(VLOOKUP(K150,'Efficiency Lookup'!$D$2:$G$35,3,FALSE)),0,VLOOKUP(K150,'Efficiency Lookup'!$D$2:$G$35,3,FALSE))</f>
        <v>0.7</v>
      </c>
      <c r="AH150" s="1022">
        <f>S150*AG150</f>
        <v>20.616870827615919</v>
      </c>
      <c r="AI150" s="637">
        <f>IF(U150="RR",IF((0.0308*(W150^5)-0.2562*(W150^4)+0.8634*(W150^3)-1.5285*(W150^2)+1.501*W150-0.013)&gt;0.7,0.7,IF((0.0308*(W150^5)-0.2562*(W150^4)+0.8634*(W150^3)-1.5285*(W150^2)+1.501*W150-0.013)&lt;0,0,(0.0308*(W150^5)-0.2562*(W150^4)+0.8634*(W150^3)-1.5285*(W150^2)+1.501*W150-0.013))),IF((0.0152*(W150^5)-0.131*(W150^4)+0.4581*(W150^3)-0.8418*(W150^2)+0.8536*W150-0.0046)&gt;0.65,0.65,IF((0.0152*(W150^5)-0.131*(W150^4)+0.4581*(W150^3)-0.8418*(W150^2)+0.8536*W150-0.0046)&lt;0,0,(0.0152*(W150^5)-0.131*(W150^4)+0.4581*(W150^3)-0.8418*(W150^2)+0.8536*W150-0.0046))))</f>
        <v>0</v>
      </c>
      <c r="AJ150" s="139">
        <f>S150*AI150</f>
        <v>0</v>
      </c>
      <c r="AK150" s="416">
        <f t="shared" si="47"/>
        <v>20.616870827615919</v>
      </c>
      <c r="AL150" s="641">
        <f>IF(ISNA(VLOOKUP(K150,'Efficiency Lookup'!$D$2:$G$35,4,FALSE)),0,VLOOKUP(K150,'Efficiency Lookup'!$D$2:$G$35,4,FALSE))</f>
        <v>0.8</v>
      </c>
      <c r="AM150" s="1022">
        <f>T150*AL150</f>
        <v>1179.9283896073589</v>
      </c>
      <c r="AN150" s="637">
        <f>IF(U150="RR",IF((0.0326*(W150^5)-0.2806*(W150^4)+0.9816*(W150^3)-1.8039*(W150^2)+1.8292*W150-0.0098)&gt;0.85,0.85,IF((0.0326*(W150^5)-0.2806*(W150^4)+0.9816*(W150^3)-1.8039*(W150^2)+1.8292*W150-0.0098)&lt;0,0,(0.0326*(W150^5)-0.2806*(W150^4)+0.9816*(W150^3)-1.8039*(W150^2)+1.8292*W150-0.0098))),IF((0.0304*(W150^5)-0.2619*(W150^4)+0.9161*(W150^3)-1.6837*(W150^2)+1.7072*W150-0.0091)&gt;0.8,0.8,IF((0.0304*(W150^5)-0.2619*(W150^4)+0.9161*(W150^3)-1.6837*(W150^2)+1.7072*W150-0.0091)&lt;0,0,(0.0304*(W150^5)-0.2619*(W150^4)+0.9161*(W150^3)-1.6837*(W150^2)+1.7072*W150-0.0091))))</f>
        <v>0</v>
      </c>
      <c r="AO150" s="139">
        <f>T150*AN150</f>
        <v>0</v>
      </c>
      <c r="AP150" s="647">
        <f>IF(AK150=AH150,AM150,AO150)</f>
        <v>1179.9283896073589</v>
      </c>
      <c r="AQ150" s="789">
        <f>IF(AF150&lt;0,0,AF150)</f>
        <v>2.1520776115356091</v>
      </c>
      <c r="AR150" s="789">
        <f>IF(AK150&lt;0,0,AK150)</f>
        <v>20.616870827615919</v>
      </c>
      <c r="AS150" s="790">
        <f>IF(AP150&lt;0,0,AP150)</f>
        <v>1179.9283896073589</v>
      </c>
    </row>
    <row r="151" spans="1:45" x14ac:dyDescent="0.25">
      <c r="A151" s="261"/>
      <c r="B151" s="510" t="s">
        <v>297</v>
      </c>
      <c r="C151" s="510" t="s">
        <v>297</v>
      </c>
      <c r="D151" s="510" t="s">
        <v>297</v>
      </c>
      <c r="E151" s="511"/>
      <c r="F151" s="705"/>
      <c r="G151" s="510"/>
      <c r="H151" s="511"/>
      <c r="I151" s="261"/>
      <c r="J151" s="511"/>
      <c r="K151" s="511"/>
      <c r="L151" s="510"/>
      <c r="M151" s="510"/>
      <c r="N151" s="672"/>
      <c r="O151" s="514"/>
      <c r="P151" s="514" t="s">
        <v>297</v>
      </c>
      <c r="Q151" s="688"/>
      <c r="R151" s="674"/>
      <c r="S151" s="674"/>
      <c r="T151" s="674"/>
      <c r="U151" s="1022"/>
      <c r="V151" s="514"/>
      <c r="W151" s="675"/>
      <c r="X151" s="636" t="str">
        <f t="shared" si="48"/>
        <v/>
      </c>
      <c r="Y151" s="706"/>
      <c r="Z151" s="640"/>
      <c r="AA151" s="1022"/>
      <c r="AB151" s="637"/>
      <c r="AC151" s="637"/>
      <c r="AD151" s="637"/>
      <c r="AE151" s="139"/>
      <c r="AF151" s="642"/>
      <c r="AG151" s="583"/>
      <c r="AH151" s="139"/>
      <c r="AI151" s="637"/>
      <c r="AJ151" s="139"/>
      <c r="AK151" s="416" t="str">
        <f t="shared" si="47"/>
        <v/>
      </c>
      <c r="AL151" s="642"/>
      <c r="AM151" s="637"/>
      <c r="AN151" s="637"/>
      <c r="AO151" s="139"/>
      <c r="AP151" s="647"/>
      <c r="AQ151" s="789"/>
      <c r="AR151" s="789"/>
      <c r="AS151" s="790"/>
    </row>
    <row r="152" spans="1:45" x14ac:dyDescent="0.25">
      <c r="A152" s="628"/>
      <c r="B152" s="668" t="s">
        <v>297</v>
      </c>
      <c r="C152" s="668" t="s">
        <v>297</v>
      </c>
      <c r="D152" s="668" t="s">
        <v>297</v>
      </c>
      <c r="E152" s="710"/>
      <c r="F152" s="711"/>
      <c r="G152" s="668"/>
      <c r="H152" s="712"/>
      <c r="I152" s="712"/>
      <c r="J152" s="712"/>
      <c r="K152" s="712"/>
      <c r="L152" s="712"/>
      <c r="M152" s="712"/>
      <c r="N152" s="712"/>
      <c r="O152" s="712"/>
      <c r="P152" s="712"/>
      <c r="Q152" s="712"/>
      <c r="R152" s="712"/>
      <c r="S152" s="712"/>
      <c r="T152" s="712"/>
      <c r="U152" s="712"/>
      <c r="V152" s="712"/>
      <c r="W152" s="712"/>
      <c r="X152" s="760" t="str">
        <f t="shared" si="48"/>
        <v/>
      </c>
      <c r="Y152" s="713"/>
      <c r="Z152" s="712"/>
      <c r="AA152" s="712"/>
      <c r="AB152" s="638"/>
      <c r="AC152" s="638"/>
      <c r="AD152" s="638"/>
      <c r="AE152" s="629"/>
      <c r="AF152" s="666"/>
      <c r="AG152" s="666"/>
      <c r="AH152" s="629"/>
      <c r="AI152" s="638"/>
      <c r="AJ152" s="629"/>
      <c r="AK152" s="639" t="str">
        <f t="shared" si="47"/>
        <v/>
      </c>
      <c r="AL152" s="644"/>
      <c r="AM152" s="638"/>
      <c r="AN152" s="638"/>
      <c r="AO152" s="629"/>
      <c r="AP152" s="648"/>
      <c r="AQ152" s="791"/>
      <c r="AR152" s="791"/>
      <c r="AS152" s="792"/>
    </row>
    <row r="153" spans="1:45" ht="14.45" customHeight="1" x14ac:dyDescent="0.25">
      <c r="A153" s="261"/>
      <c r="B153" s="510" t="s">
        <v>297</v>
      </c>
      <c r="C153" s="510" t="s">
        <v>297</v>
      </c>
      <c r="D153" s="510" t="s">
        <v>297</v>
      </c>
      <c r="E153" s="704"/>
      <c r="F153" s="705"/>
      <c r="G153" s="510"/>
      <c r="H153" s="511"/>
      <c r="I153" s="261"/>
      <c r="J153" s="511"/>
      <c r="K153" s="511"/>
      <c r="L153" s="510"/>
      <c r="M153" s="510"/>
      <c r="N153" s="672"/>
      <c r="O153" s="514"/>
      <c r="P153" s="514" t="s">
        <v>297</v>
      </c>
      <c r="Q153" s="688"/>
      <c r="R153" s="674"/>
      <c r="S153" s="674"/>
      <c r="T153" s="674"/>
      <c r="U153" s="1022"/>
      <c r="V153" s="514"/>
      <c r="W153" s="675"/>
      <c r="X153" s="636" t="str">
        <f t="shared" si="48"/>
        <v/>
      </c>
      <c r="Y153" s="706"/>
      <c r="Z153" s="640"/>
      <c r="AA153" s="1022"/>
      <c r="AB153" s="637"/>
      <c r="AC153" s="637"/>
      <c r="AD153" s="637"/>
      <c r="AE153" s="139"/>
      <c r="AF153" s="642"/>
      <c r="AG153" s="583"/>
      <c r="AH153" s="139"/>
      <c r="AI153" s="637"/>
      <c r="AJ153" s="139"/>
      <c r="AK153" s="416" t="str">
        <f t="shared" si="47"/>
        <v/>
      </c>
      <c r="AL153" s="642"/>
      <c r="AM153" s="637"/>
      <c r="AN153" s="637"/>
      <c r="AO153" s="139"/>
      <c r="AP153" s="647"/>
      <c r="AQ153" s="789"/>
      <c r="AR153" s="789"/>
      <c r="AS153" s="790"/>
    </row>
    <row r="154" spans="1:45" ht="30" x14ac:dyDescent="0.25">
      <c r="A154" s="261" t="s">
        <v>688</v>
      </c>
      <c r="B154" s="510">
        <v>38.027907999999996</v>
      </c>
      <c r="C154" s="510">
        <v>-78.439690999999996</v>
      </c>
      <c r="D154" s="510" t="s">
        <v>286</v>
      </c>
      <c r="E154" s="511">
        <v>254.01</v>
      </c>
      <c r="F154" s="669">
        <v>38887</v>
      </c>
      <c r="G154" s="510" t="s">
        <v>281</v>
      </c>
      <c r="H154" s="511"/>
      <c r="I154" s="511"/>
      <c r="J154" s="511" t="s">
        <v>343</v>
      </c>
      <c r="K154" s="511" t="s">
        <v>284</v>
      </c>
      <c r="L154" s="511" t="s">
        <v>292</v>
      </c>
      <c r="M154" s="514">
        <f>N154+O154+P154</f>
        <v>3.7233713782947078</v>
      </c>
      <c r="N154" s="672">
        <v>1.822970800673128</v>
      </c>
      <c r="O154" s="514">
        <v>1.34565719700858</v>
      </c>
      <c r="P154" s="514">
        <v>0.55474338061299999</v>
      </c>
      <c r="Q154" s="673">
        <f>+N154/M154</f>
        <v>0.48960219528465165</v>
      </c>
      <c r="R154" s="674">
        <f>IF(L153="TT",(1.76*N154+0.5*O154+0.13*P154)-AF153,1.76*N154+0.5*O154+0.13*P154)</f>
        <v>3.9533738471686855</v>
      </c>
      <c r="S154" s="674">
        <f>IF(L153="TT",(M154*9.39+N154*6.99+O154*2.36)-AK153,M154*9.39+N154*6.99+O154*2.36)</f>
        <v>50.880774123832722</v>
      </c>
      <c r="T154" s="674">
        <f>IF(L153="TT",(M154*676.94+N154*101.08+O154*77.38)-AP153,M154*676.94+N154*101.08+O154*77.38)</f>
        <v>2808.8918632593832</v>
      </c>
      <c r="U154" s="1022" t="s">
        <v>285</v>
      </c>
      <c r="V154" s="514">
        <v>2683.1248092000001</v>
      </c>
      <c r="W154" s="675">
        <f>IF(V154="NA", 0, (V154)*12/N154/43560)</f>
        <v>0.40546608850074256</v>
      </c>
      <c r="X154" s="634" t="str">
        <f t="shared" si="48"/>
        <v>NA</v>
      </c>
      <c r="Y154" s="676">
        <f>IF(X154="NA",0,R154*X154)</f>
        <v>0</v>
      </c>
      <c r="Z154" s="1061">
        <f>IF(ISNA(VLOOKUP(J154,'Efficiency Lookup'!$B$2:$C$38,2,FALSE)),0,(VLOOKUP(J154,'Efficiency Lookup'!$B$2:$C$38,2,FALSE)))</f>
        <v>0.5</v>
      </c>
      <c r="AA154" s="1022">
        <f>R154*Z154</f>
        <v>1.9766869235843427</v>
      </c>
      <c r="AB154" s="635">
        <f>IF(ISNA(VLOOKUP(K154,'Efficiency Lookup'!$D$2:$E$35,2,FALSE)),0,VLOOKUP(K154,'Efficiency Lookup'!$D$2:$E$35,2,FALSE))</f>
        <v>0.45</v>
      </c>
      <c r="AC154" s="139">
        <f>R154*AB154</f>
        <v>1.7790182312259084</v>
      </c>
      <c r="AD154" s="637">
        <f>IF(U154="RR",IF((0.0304*(W154^5)-0.2619*(W154^4)+0.9161*(W154^3)-1.6837*(W154^2)+1.7072*W154-0.0091)&gt;0.85,0.85,IF((0.0304*(W154^5)-0.2619*(W154^4)+0.9161*(W154^3)-1.6837*(W154^2)+1.7072*W154-0.0091)&lt;0,0,(0.0304*(W154^5)-0.2619*(W154^4)+0.9161*(W154^3)-1.6837*(W154^2)+1.7072*W154-0.0091))),IF((0.0239*(W154^5)-0.2058*(W154^4)+0.7198*(W154^3)-1.3229*(W154^2)+1.3414*W154-0.0072)&gt;0.65,0.65,IF((0.0239*(W154^5)-0.2058*(W154^4)+0.7198*(W154^3)-1.3229*(W154^2)+1.3414*W154-0.0072)&lt;0,0,(0.0239*(W154^5)-0.2058*(W154^4)+0.7198*(W154^3)-1.3229*(W154^2)+1.3414*W154-0.0072))))</f>
        <v>0.46062823796934077</v>
      </c>
      <c r="AE154" s="139">
        <f>R154*AD154</f>
        <v>1.8210356292553855</v>
      </c>
      <c r="AF154" s="516">
        <f>MAX(Y154,AA154,AC154,AE154)</f>
        <v>1.9766869235843427</v>
      </c>
      <c r="AG154" s="634">
        <f>IF(ISNA(VLOOKUP(K154,'Efficiency Lookup'!$D$2:$G$35,3,FALSE)),0,VLOOKUP(K154,'Efficiency Lookup'!$D$2:$G$35,3,FALSE))</f>
        <v>0.25</v>
      </c>
      <c r="AH154" s="139">
        <f>S154*AG154</f>
        <v>12.720193530958181</v>
      </c>
      <c r="AI154" s="649">
        <f>IF(U154="RR",IF((0.0308*(W154^5)-0.2562*(W154^4)+0.8634*(W154^3)-1.5285*(W154^2)+1.501*W154-0.013)&gt;0.7,0.7,IF((0.0308*(W154^5)-0.2562*(W154^4)+0.8634*(W154^3)-1.5285*(W154^2)+1.501*W154-0.013)&lt;0,0,(0.0308*(W154^5)-0.2562*(W154^4)+0.8634*(W154^3)-1.5285*(W154^2)+1.501*W154-0.013))),IF((0.0152*(W154^5)-0.131*(W154^4)+0.4581*(W154^3)-0.8418*(W154^2)+0.8536*W154-0.0046)&gt;0.65,0.65,IF((0.0152*(W154^5)-0.131*(W154^4)+0.4581*(W154^3)-0.8418*(W154^2)+0.8536*W154-0.0046)&lt;0,0,(0.0152*(W154^5)-0.131*(W154^4)+0.4581*(W154^3)-0.8418*(W154^2)+0.8536*W154-0.0046))))</f>
        <v>0.39528191360122011</v>
      </c>
      <c r="AJ154" s="1022">
        <f>S154*AI154</f>
        <v>20.112249761180042</v>
      </c>
      <c r="AK154" s="416">
        <f t="shared" si="47"/>
        <v>20.112249761180042</v>
      </c>
      <c r="AL154" s="634">
        <f>IF(ISNA(VLOOKUP(K154,'Efficiency Lookup'!$D$2:$G$35,4,FALSE)),0,VLOOKUP(K154,'Efficiency Lookup'!$D$2:$G$35,4,FALSE))</f>
        <v>0.55000000000000004</v>
      </c>
      <c r="AM154" s="139">
        <f>T154*AL154</f>
        <v>1544.8905247926609</v>
      </c>
      <c r="AN154" s="521">
        <f>IF(U154="RR",IF((0.0326*(W154^5)-0.2806*(W154^4)+0.9816*(W154^3)-1.8039*(W154^2)+1.8292*W154-0.0098)&gt;0.85,0.85,IF((0.0326*(W154^5)-0.2806*(W154^4)+0.9816*(W154^3)-1.8039*(W154^2)+1.8292*W154-0.0098)&lt;0,0,(0.0326*(W154^5)-0.2806*(W154^4)+0.9816*(W154^3)-1.8039*(W154^2)+1.8292*W154-0.0098))),IF((0.0304*(W154^5)-0.2619*(W154^4)+0.9161*(W154^3)-1.6837*(W154^2)+1.7072*W154-0.0091)&gt;0.8,0.8,IF((0.0304*(W154^5)-0.2619*(W154^4)+0.9161*(W154^3)-1.6837*(W154^2)+1.7072*W154-0.0091)&lt;0,0,(0.0304*(W154^5)-0.2619*(W154^4)+0.9161*(W154^3)-1.6837*(W154^2)+1.7072*W154-0.0091))))</f>
        <v>0.49351878464962057</v>
      </c>
      <c r="AO154" s="1005">
        <f>T154*AN154</f>
        <v>1386.240898567979</v>
      </c>
      <c r="AP154" s="647">
        <f>IF(AK154=AH154,AM154,AO154)</f>
        <v>1386.240898567979</v>
      </c>
      <c r="AQ154" s="789">
        <f>IF(AF154&lt;0,0,AF154)</f>
        <v>1.9766869235843427</v>
      </c>
      <c r="AR154" s="789">
        <f>IF(AK154&lt;0,0,AK154)</f>
        <v>20.112249761180042</v>
      </c>
      <c r="AS154" s="790">
        <f>IF(AP154&lt;0,0,AP154)</f>
        <v>1386.240898567979</v>
      </c>
    </row>
    <row r="155" spans="1:45" ht="75" x14ac:dyDescent="0.25">
      <c r="A155" s="261" t="s">
        <v>688</v>
      </c>
      <c r="B155" s="510">
        <v>38.028112</v>
      </c>
      <c r="C155" s="510">
        <v>-78.439802999999998</v>
      </c>
      <c r="D155" s="510" t="s">
        <v>286</v>
      </c>
      <c r="E155" s="511">
        <v>254.03</v>
      </c>
      <c r="F155" s="669">
        <v>38887</v>
      </c>
      <c r="G155" s="510" t="s">
        <v>293</v>
      </c>
      <c r="H155" s="511" t="s">
        <v>689</v>
      </c>
      <c r="I155" s="511"/>
      <c r="J155" s="511"/>
      <c r="K155" s="511"/>
      <c r="L155" s="261"/>
      <c r="M155" s="514">
        <f>N155+O155+P155</f>
        <v>3.7233713782947078</v>
      </c>
      <c r="N155" s="672">
        <v>1.822970800673128</v>
      </c>
      <c r="O155" s="514">
        <v>1.34565719700858</v>
      </c>
      <c r="P155" s="514">
        <v>0.55474338061299999</v>
      </c>
      <c r="Q155" s="673">
        <f>+N155/M155</f>
        <v>0.48960219528465165</v>
      </c>
      <c r="R155" s="674">
        <f>IF(L154="TT",(1.76*N155+0.5*O155+0.13*P155)-AF154,1.76*N155+0.5*O155+0.13*P155)</f>
        <v>1.9766869235843427</v>
      </c>
      <c r="S155" s="674">
        <f>IF(L154="TT",(M155*9.39+N155*6.99+O155*2.36)-AK154,M155*9.39+N155*6.99+O155*2.36)</f>
        <v>30.768524362652681</v>
      </c>
      <c r="T155" s="674">
        <f>IF(L154="TT",(M155*676.94+N155*101.08+O155*77.38)-AP154,M155*676.94+N155*101.08+O155*77.38)</f>
        <v>1422.6509646914042</v>
      </c>
      <c r="U155" s="1022" t="s">
        <v>295</v>
      </c>
      <c r="V155" s="514" t="s">
        <v>295</v>
      </c>
      <c r="W155" s="675">
        <f>IF(V155="NA", 0, (V155)*12/N155/43560)</f>
        <v>0</v>
      </c>
      <c r="X155" s="634" t="str">
        <f t="shared" si="48"/>
        <v>NA</v>
      </c>
      <c r="Y155" s="676">
        <f>IF(X155="NA",0,R155*X155)</f>
        <v>0</v>
      </c>
      <c r="Z155" s="635">
        <f>IF(ISNA(VLOOKUP(J155,'Efficiency Lookup'!$B$2:$C$38,2,FALSE)),0,(VLOOKUP(J155,'Efficiency Lookup'!$B$2:$C$38,2,FALSE)))</f>
        <v>0</v>
      </c>
      <c r="AA155" s="139">
        <f>R155*Z155</f>
        <v>0</v>
      </c>
      <c r="AB155" s="635">
        <f>IF(ISNA(VLOOKUP(K155,'Efficiency Lookup'!$D$2:$E$35,2,FALSE)),0,VLOOKUP(K155,'Efficiency Lookup'!$D$2:$E$35,2,FALSE))</f>
        <v>0</v>
      </c>
      <c r="AC155" s="139">
        <f>R155*AB155</f>
        <v>0</v>
      </c>
      <c r="AD155" s="637">
        <f>IF(U155="RR",IF((0.0304*(W155^5)-0.2619*(W155^4)+0.9161*(W155^3)-1.6837*(W155^2)+1.7072*W155-0.0091)&gt;0.85,0.85,IF((0.0304*(W155^5)-0.2619*(W155^4)+0.9161*(W155^3)-1.6837*(W155^2)+1.7072*W155-0.0091)&lt;0,0,(0.0304*(W155^5)-0.2619*(W155^4)+0.9161*(W155^3)-1.6837*(W155^2)+1.7072*W155-0.0091))),IF((0.0239*(W155^5)-0.2058*(W155^4)+0.7198*(W155^3)-1.3229*(W155^2)+1.3414*W155-0.0072)&gt;0.65,0.65,IF((0.0239*(W155^5)-0.2058*(W155^4)+0.7198*(W155^3)-1.3229*(W155^2)+1.3414*W155-0.0072)&lt;0,0,(0.0239*(W155^5)-0.2058*(W155^4)+0.7198*(W155^3)-1.3229*(W155^2)+1.3414*W155-0.0072))))</f>
        <v>0</v>
      </c>
      <c r="AE155" s="139">
        <f>R155*AD155</f>
        <v>0</v>
      </c>
      <c r="AF155" s="516">
        <f>MAX(Y155,AA155,AC155,AE155)</f>
        <v>0</v>
      </c>
      <c r="AG155" s="634">
        <f>IF(ISNA(VLOOKUP(K155,'Efficiency Lookup'!$D$2:$G$35,3,FALSE)),0,VLOOKUP(K155,'Efficiency Lookup'!$D$2:$G$35,3,FALSE))</f>
        <v>0</v>
      </c>
      <c r="AH155" s="139">
        <f>S155*AG155</f>
        <v>0</v>
      </c>
      <c r="AI155" s="637">
        <f>IF(U155="RR",IF((0.0308*(W155^5)-0.2562*(W155^4)+0.8634*(W155^3)-1.5285*(W155^2)+1.501*W155-0.013)&gt;0.7,0.7,IF((0.0308*(W155^5)-0.2562*(W155^4)+0.8634*(W155^3)-1.5285*(W155^2)+1.501*W155-0.013)&lt;0,0,(0.0308*(W155^5)-0.2562*(W155^4)+0.8634*(W155^3)-1.5285*(W155^2)+1.501*W155-0.013))),IF((0.0152*(W155^5)-0.131*(W155^4)+0.4581*(W155^3)-0.8418*(W155^2)+0.8536*W155-0.0046)&gt;0.65,0.65,IF((0.0152*(W155^5)-0.131*(W155^4)+0.4581*(W155^3)-0.8418*(W155^2)+0.8536*W155-0.0046)&lt;0,0,(0.0152*(W155^5)-0.131*(W155^4)+0.4581*(W155^3)-0.8418*(W155^2)+0.8536*W155-0.0046))))</f>
        <v>0</v>
      </c>
      <c r="AJ155" s="139">
        <f>S155*AI155</f>
        <v>0</v>
      </c>
      <c r="AK155" s="416">
        <f t="shared" si="47"/>
        <v>0</v>
      </c>
      <c r="AL155" s="634">
        <f>IF(ISNA(VLOOKUP(K155,'Efficiency Lookup'!$D$2:$G$35,4,FALSE)),0,VLOOKUP(K155,'Efficiency Lookup'!$D$2:$G$35,4,FALSE))</f>
        <v>0</v>
      </c>
      <c r="AM155" s="139">
        <f>T155*AL155</f>
        <v>0</v>
      </c>
      <c r="AN155" s="637">
        <f>IF(U155="RR",IF((0.0326*(W155^5)-0.2806*(W155^4)+0.9816*(W155^3)-1.8039*(W155^2)+1.8292*W155-0.0098)&gt;0.85,0.85,IF((0.0326*(W155^5)-0.2806*(W155^4)+0.9816*(W155^3)-1.8039*(W155^2)+1.8292*W155-0.0098)&lt;0,0,(0.0326*(W155^5)-0.2806*(W155^4)+0.9816*(W155^3)-1.8039*(W155^2)+1.8292*W155-0.0098))),IF((0.0304*(W155^5)-0.2619*(W155^4)+0.9161*(W155^3)-1.6837*(W155^2)+1.7072*W155-0.0091)&gt;0.8,0.8,IF((0.0304*(W155^5)-0.2619*(W155^4)+0.9161*(W155^3)-1.6837*(W155^2)+1.7072*W155-0.0091)&lt;0,0,(0.0304*(W155^5)-0.2619*(W155^4)+0.9161*(W155^3)-1.6837*(W155^2)+1.7072*W155-0.0091))))</f>
        <v>0</v>
      </c>
      <c r="AO155" s="139">
        <f>T155*AN155</f>
        <v>0</v>
      </c>
      <c r="AP155" s="647">
        <f>IF(AK155=AH155,AM155,AO155)</f>
        <v>0</v>
      </c>
      <c r="AQ155" s="789">
        <f>IF(AF155&lt;0,0,AF155)</f>
        <v>0</v>
      </c>
      <c r="AR155" s="789">
        <f>IF(AK155&lt;0,0,AK155)</f>
        <v>0</v>
      </c>
      <c r="AS155" s="790">
        <f>IF(AP155&lt;0,0,AP155)</f>
        <v>0</v>
      </c>
    </row>
    <row r="156" spans="1:45" ht="30" x14ac:dyDescent="0.25">
      <c r="A156" s="261" t="s">
        <v>688</v>
      </c>
      <c r="B156" s="510">
        <v>38.027692999999999</v>
      </c>
      <c r="C156" s="510">
        <v>-78.439479000000006</v>
      </c>
      <c r="D156" s="510" t="s">
        <v>286</v>
      </c>
      <c r="E156" s="511">
        <v>254.02</v>
      </c>
      <c r="F156" s="669">
        <v>38887</v>
      </c>
      <c r="G156" s="510" t="s">
        <v>281</v>
      </c>
      <c r="H156" s="511"/>
      <c r="I156" s="511"/>
      <c r="J156" s="511" t="s">
        <v>343</v>
      </c>
      <c r="K156" s="511" t="s">
        <v>284</v>
      </c>
      <c r="L156" s="511" t="s">
        <v>292</v>
      </c>
      <c r="M156" s="514">
        <f>N156+O156+P156</f>
        <v>0.99652828260479998</v>
      </c>
      <c r="N156" s="672">
        <v>0.78033471439799995</v>
      </c>
      <c r="O156" s="514">
        <v>0.2161935682068</v>
      </c>
      <c r="P156" s="514">
        <v>0</v>
      </c>
      <c r="Q156" s="673">
        <f>+N156/M156</f>
        <v>0.78305325400128423</v>
      </c>
      <c r="R156" s="674">
        <f>IF(L155="TT",(1.76*N156+0.5*O156+0.13*P156)-AF155,1.76*N156+0.5*O156+0.13*P156)</f>
        <v>1.4814858814438798</v>
      </c>
      <c r="S156" s="674">
        <f>IF(L155="TT",(M156*9.39+N156*6.99+O156*2.36)-AK155,M156*9.39+N156*6.99+O156*2.36)</f>
        <v>15.32215704826914</v>
      </c>
      <c r="T156" s="674">
        <f>IF(L155="TT",(M156*676.94+N156*101.08+O156*77.38)-AP155,M156*676.94+N156*101.08+O156*77.38)</f>
        <v>770.19514686568527</v>
      </c>
      <c r="U156" s="1022" t="s">
        <v>285</v>
      </c>
      <c r="V156" s="514">
        <v>1589.9994593999998</v>
      </c>
      <c r="W156" s="675">
        <f>IF(V156="NA", 0, (V156)*12/N156/43560)</f>
        <v>0.56131858793173606</v>
      </c>
      <c r="X156" s="634" t="str">
        <f t="shared" si="48"/>
        <v>NA</v>
      </c>
      <c r="Y156" s="676">
        <f>IF(X156="NA",0,R156*X156)</f>
        <v>0</v>
      </c>
      <c r="Z156" s="635">
        <f>IF(ISNA(VLOOKUP(J156,'Efficiency Lookup'!$B$2:$C$38,2,FALSE)),0,(VLOOKUP(J156,'Efficiency Lookup'!$B$2:$C$38,2,FALSE)))</f>
        <v>0.5</v>
      </c>
      <c r="AA156" s="139">
        <f>R156*Z156</f>
        <v>0.74074294072193991</v>
      </c>
      <c r="AB156" s="635">
        <f>IF(ISNA(VLOOKUP(K156,'Efficiency Lookup'!$D$2:$E$35,2,FALSE)),0,VLOOKUP(K156,'Efficiency Lookup'!$D$2:$E$35,2,FALSE))</f>
        <v>0.45</v>
      </c>
      <c r="AC156" s="139">
        <f>R156*AB156</f>
        <v>0.6666686466497459</v>
      </c>
      <c r="AD156" s="521">
        <f>IF(U156="RR",IF((0.0304*(W156^5)-0.2619*(W156^4)+0.9161*(W156^3)-1.6837*(W156^2)+1.7072*W156-0.0091)&gt;0.85,0.85,IF((0.0304*(W156^5)-0.2619*(W156^4)+0.9161*(W156^3)-1.6837*(W156^2)+1.7072*W156-0.0091)&lt;0,0,(0.0304*(W156^5)-0.2619*(W156^4)+0.9161*(W156^3)-1.6837*(W156^2)+1.7072*W156-0.0091))),IF((0.0239*(W156^5)-0.2058*(W156^4)+0.7198*(W156^3)-1.3229*(W156^2)+1.3414*W156-0.0072)&gt;0.65,0.65,IF((0.0239*(W156^5)-0.2058*(W156^4)+0.7198*(W156^3)-1.3229*(W156^2)+1.3414*W156-0.0072)&lt;0,0,(0.0239*(W156^5)-0.2058*(W156^4)+0.7198*(W156^3)-1.3229*(W156^2)+1.3414*W156-0.0072))))</f>
        <v>0.5564003071544934</v>
      </c>
      <c r="AE156" s="1022">
        <f>R156*AD156</f>
        <v>0.82429919948042019</v>
      </c>
      <c r="AF156" s="516">
        <f>MAX(Y156,AA156,AC156,AE156)</f>
        <v>0.82429919948042019</v>
      </c>
      <c r="AG156" s="634">
        <f>IF(ISNA(VLOOKUP(K156,'Efficiency Lookup'!$D$2:$G$35,3,FALSE)),0,VLOOKUP(K156,'Efficiency Lookup'!$D$2:$G$35,3,FALSE))</f>
        <v>0.25</v>
      </c>
      <c r="AH156" s="139">
        <f>S156*AG156</f>
        <v>3.8305392620672851</v>
      </c>
      <c r="AI156" s="649">
        <f>IF(U156="RR",IF((0.0308*(W156^5)-0.2562*(W156^4)+0.8634*(W156^3)-1.5285*(W156^2)+1.501*W156-0.013)&gt;0.7,0.7,IF((0.0308*(W156^5)-0.2562*(W156^4)+0.8634*(W156^3)-1.5285*(W156^2)+1.501*W156-0.013)&lt;0,0,(0.0308*(W156^5)-0.2562*(W156^4)+0.8634*(W156^3)-1.5285*(W156^2)+1.501*W156-0.013))),IF((0.0152*(W156^5)-0.131*(W156^4)+0.4581*(W156^3)-0.8418*(W156^2)+0.8536*W156-0.0046)&gt;0.65,0.65,IF((0.0152*(W156^5)-0.131*(W156^4)+0.4581*(W156^3)-0.8418*(W156^2)+0.8536*W156-0.0046)&lt;0,0,(0.0152*(W156^5)-0.131*(W156^4)+0.4581*(W156^3)-0.8418*(W156^2)+0.8536*W156-0.0046))))</f>
        <v>0.47692426781929786</v>
      </c>
      <c r="AJ156" s="1022">
        <f>S156*AI156</f>
        <v>7.3075085316580539</v>
      </c>
      <c r="AK156" s="416">
        <f t="shared" si="47"/>
        <v>7.3075085316580539</v>
      </c>
      <c r="AL156" s="634">
        <f>IF(ISNA(VLOOKUP(K156,'Efficiency Lookup'!$D$2:$G$35,4,FALSE)),0,VLOOKUP(K156,'Efficiency Lookup'!$D$2:$G$35,4,FALSE))</f>
        <v>0.55000000000000004</v>
      </c>
      <c r="AM156" s="139">
        <f>T156*AL156</f>
        <v>423.60733077612696</v>
      </c>
      <c r="AN156" s="521">
        <f>IF(U156="RR",IF((0.0326*(W156^5)-0.2806*(W156^4)+0.9816*(W156^3)-1.8039*(W156^2)+1.8292*W156-0.0098)&gt;0.85,0.85,IF((0.0326*(W156^5)-0.2806*(W156^4)+0.9816*(W156^3)-1.8039*(W156^2)+1.8292*W156-0.0098)&lt;0,0,(0.0326*(W156^5)-0.2806*(W156^4)+0.9816*(W156^3)-1.8039*(W156^2)+1.8292*W156-0.0098))),IF((0.0304*(W156^5)-0.2619*(W156^4)+0.9161*(W156^3)-1.6837*(W156^2)+1.7072*W156-0.0091)&gt;0.8,0.8,IF((0.0304*(W156^5)-0.2619*(W156^4)+0.9161*(W156^3)-1.6837*(W156^2)+1.7072*W156-0.0091)&lt;0,0,(0.0304*(W156^5)-0.2619*(W156^4)+0.9161*(W156^3)-1.6837*(W156^2)+1.7072*W156-0.0091))))</f>
        <v>0.59615918740663199</v>
      </c>
      <c r="AO156" s="1005">
        <f>T156*AN156</f>
        <v>459.15891289997853</v>
      </c>
      <c r="AP156" s="647">
        <f>IF(AK156=AH156,AM156,AO156)</f>
        <v>459.15891289997853</v>
      </c>
      <c r="AQ156" s="789">
        <f>IF(AF156&lt;0,0,AF156)</f>
        <v>0.82429919948042019</v>
      </c>
      <c r="AR156" s="789">
        <f>IF(AK156&lt;0,0,AK156)</f>
        <v>7.3075085316580539</v>
      </c>
      <c r="AS156" s="790">
        <f>IF(AP156&lt;0,0,AP156)</f>
        <v>459.15891289997853</v>
      </c>
    </row>
    <row r="157" spans="1:45" ht="75" x14ac:dyDescent="0.25">
      <c r="A157" s="261" t="s">
        <v>688</v>
      </c>
      <c r="B157" s="510">
        <v>38.027774999999998</v>
      </c>
      <c r="C157" s="510">
        <v>-78.439482999999996</v>
      </c>
      <c r="D157" s="510" t="s">
        <v>286</v>
      </c>
      <c r="E157" s="511">
        <v>254.04</v>
      </c>
      <c r="F157" s="669">
        <v>38887</v>
      </c>
      <c r="G157" s="510" t="s">
        <v>293</v>
      </c>
      <c r="H157" s="511" t="s">
        <v>690</v>
      </c>
      <c r="I157" s="511"/>
      <c r="J157" s="511"/>
      <c r="K157" s="511"/>
      <c r="L157" s="261"/>
      <c r="M157" s="514">
        <f>N157+O157+P157</f>
        <v>0.99652828260479998</v>
      </c>
      <c r="N157" s="672">
        <v>0.78033471439799995</v>
      </c>
      <c r="O157" s="514">
        <v>0.2161935682068</v>
      </c>
      <c r="P157" s="514">
        <v>0</v>
      </c>
      <c r="Q157" s="673">
        <f>+N157/M157</f>
        <v>0.78305325400128423</v>
      </c>
      <c r="R157" s="674">
        <f>IF(L156="TT",(1.76*N157+0.5*O157+0.13*P157)-AF156,1.76*N157+0.5*O157+0.13*P157)</f>
        <v>0.65718668196345964</v>
      </c>
      <c r="S157" s="674">
        <f>IF(L156="TT",(M157*9.39+N157*6.99+O157*2.36)-AK156,M157*9.39+N157*6.99+O157*2.36)</f>
        <v>8.0146485166110857</v>
      </c>
      <c r="T157" s="674">
        <f>IF(L156="TT",(M157*676.94+N157*101.08+O157*77.38)-AP156,M157*676.94+N157*101.08+O157*77.38)</f>
        <v>311.03623396570674</v>
      </c>
      <c r="U157" s="1022" t="s">
        <v>295</v>
      </c>
      <c r="V157" s="514" t="s">
        <v>295</v>
      </c>
      <c r="W157" s="675">
        <f>IF(V157="NA", 0, (V157)*12/N157/43560)</f>
        <v>0</v>
      </c>
      <c r="X157" s="634" t="str">
        <f t="shared" si="48"/>
        <v>NA</v>
      </c>
      <c r="Y157" s="676">
        <f>IF(X157="NA",0,R157*X157)</f>
        <v>0</v>
      </c>
      <c r="Z157" s="635">
        <f>IF(ISNA(VLOOKUP(J157,'Efficiency Lookup'!$B$2:$C$38,2,FALSE)),0,(VLOOKUP(J157,'Efficiency Lookup'!$B$2:$C$38,2,FALSE)))</f>
        <v>0</v>
      </c>
      <c r="AA157" s="139">
        <f>R157*Z157</f>
        <v>0</v>
      </c>
      <c r="AB157" s="635">
        <f>IF(ISNA(VLOOKUP(K157,'Efficiency Lookup'!$D$2:$E$35,2,FALSE)),0,VLOOKUP(K157,'Efficiency Lookup'!$D$2:$E$35,2,FALSE))</f>
        <v>0</v>
      </c>
      <c r="AC157" s="139">
        <f>R157*AB157</f>
        <v>0</v>
      </c>
      <c r="AD157" s="637">
        <f>IF(U157="RR",IF((0.0304*(W157^5)-0.2619*(W157^4)+0.9161*(W157^3)-1.6837*(W157^2)+1.7072*W157-0.0091)&gt;0.85,0.85,IF((0.0304*(W157^5)-0.2619*(W157^4)+0.9161*(W157^3)-1.6837*(W157^2)+1.7072*W157-0.0091)&lt;0,0,(0.0304*(W157^5)-0.2619*(W157^4)+0.9161*(W157^3)-1.6837*(W157^2)+1.7072*W157-0.0091))),IF((0.0239*(W157^5)-0.2058*(W157^4)+0.7198*(W157^3)-1.3229*(W157^2)+1.3414*W157-0.0072)&gt;0.65,0.65,IF((0.0239*(W157^5)-0.2058*(W157^4)+0.7198*(W157^3)-1.3229*(W157^2)+1.3414*W157-0.0072)&lt;0,0,(0.0239*(W157^5)-0.2058*(W157^4)+0.7198*(W157^3)-1.3229*(W157^2)+1.3414*W157-0.0072))))</f>
        <v>0</v>
      </c>
      <c r="AE157" s="139">
        <f>R157*AD157</f>
        <v>0</v>
      </c>
      <c r="AF157" s="516">
        <f>MAX(Y157,AA157,AC157,AE157)</f>
        <v>0</v>
      </c>
      <c r="AG157" s="634">
        <f>IF(ISNA(VLOOKUP(K157,'Efficiency Lookup'!$D$2:$G$35,3,FALSE)),0,VLOOKUP(K157,'Efficiency Lookup'!$D$2:$G$35,3,FALSE))</f>
        <v>0</v>
      </c>
      <c r="AH157" s="139">
        <f>S157*AG157</f>
        <v>0</v>
      </c>
      <c r="AI157" s="637">
        <f>IF(U157="RR",IF((0.0308*(W157^5)-0.2562*(W157^4)+0.8634*(W157^3)-1.5285*(W157^2)+1.501*W157-0.013)&gt;0.7,0.7,IF((0.0308*(W157^5)-0.2562*(W157^4)+0.8634*(W157^3)-1.5285*(W157^2)+1.501*W157-0.013)&lt;0,0,(0.0308*(W157^5)-0.2562*(W157^4)+0.8634*(W157^3)-1.5285*(W157^2)+1.501*W157-0.013))),IF((0.0152*(W157^5)-0.131*(W157^4)+0.4581*(W157^3)-0.8418*(W157^2)+0.8536*W157-0.0046)&gt;0.65,0.65,IF((0.0152*(W157^5)-0.131*(W157^4)+0.4581*(W157^3)-0.8418*(W157^2)+0.8536*W157-0.0046)&lt;0,0,(0.0152*(W157^5)-0.131*(W157^4)+0.4581*(W157^3)-0.8418*(W157^2)+0.8536*W157-0.0046))))</f>
        <v>0</v>
      </c>
      <c r="AJ157" s="139">
        <f>S157*AI157</f>
        <v>0</v>
      </c>
      <c r="AK157" s="416">
        <f t="shared" si="47"/>
        <v>0</v>
      </c>
      <c r="AL157" s="634">
        <f>IF(ISNA(VLOOKUP(K157,'Efficiency Lookup'!$D$2:$G$35,4,FALSE)),0,VLOOKUP(K157,'Efficiency Lookup'!$D$2:$G$35,4,FALSE))</f>
        <v>0</v>
      </c>
      <c r="AM157" s="139">
        <f>T157*AL157</f>
        <v>0</v>
      </c>
      <c r="AN157" s="637">
        <f>IF(U157="RR",IF((0.0326*(W157^5)-0.2806*(W157^4)+0.9816*(W157^3)-1.8039*(W157^2)+1.8292*W157-0.0098)&gt;0.85,0.85,IF((0.0326*(W157^5)-0.2806*(W157^4)+0.9816*(W157^3)-1.8039*(W157^2)+1.8292*W157-0.0098)&lt;0,0,(0.0326*(W157^5)-0.2806*(W157^4)+0.9816*(W157^3)-1.8039*(W157^2)+1.8292*W157-0.0098))),IF((0.0304*(W157^5)-0.2619*(W157^4)+0.9161*(W157^3)-1.6837*(W157^2)+1.7072*W157-0.0091)&gt;0.8,0.8,IF((0.0304*(W157^5)-0.2619*(W157^4)+0.9161*(W157^3)-1.6837*(W157^2)+1.7072*W157-0.0091)&lt;0,0,(0.0304*(W157^5)-0.2619*(W157^4)+0.9161*(W157^3)-1.6837*(W157^2)+1.7072*W157-0.0091))))</f>
        <v>0</v>
      </c>
      <c r="AO157" s="139">
        <f>T157*AN157</f>
        <v>0</v>
      </c>
      <c r="AP157" s="647">
        <f>IF(AK157=AH157,AM157,AO157)</f>
        <v>0</v>
      </c>
      <c r="AQ157" s="789">
        <f>IF(AF157&lt;0,0,AF157)</f>
        <v>0</v>
      </c>
      <c r="AR157" s="789">
        <f>IF(AK157&lt;0,0,AK157)</f>
        <v>0</v>
      </c>
      <c r="AS157" s="790">
        <f>IF(AP157&lt;0,0,AP157)</f>
        <v>0</v>
      </c>
    </row>
    <row r="158" spans="1:45" x14ac:dyDescent="0.25">
      <c r="A158" s="261"/>
      <c r="B158" s="510" t="s">
        <v>297</v>
      </c>
      <c r="C158" s="510" t="s">
        <v>297</v>
      </c>
      <c r="D158" s="510" t="s">
        <v>297</v>
      </c>
      <c r="E158" s="511"/>
      <c r="F158" s="705"/>
      <c r="G158" s="510"/>
      <c r="H158" s="511"/>
      <c r="I158" s="261"/>
      <c r="J158" s="511"/>
      <c r="K158" s="511"/>
      <c r="L158" s="510"/>
      <c r="M158" s="510"/>
      <c r="N158" s="672"/>
      <c r="O158" s="514"/>
      <c r="P158" s="514" t="s">
        <v>297</v>
      </c>
      <c r="Q158" s="688"/>
      <c r="R158" s="674"/>
      <c r="S158" s="674"/>
      <c r="T158" s="674"/>
      <c r="U158" s="1022"/>
      <c r="V158" s="514"/>
      <c r="W158" s="675"/>
      <c r="X158" s="636" t="str">
        <f t="shared" si="48"/>
        <v/>
      </c>
      <c r="Y158" s="706"/>
      <c r="Z158" s="640"/>
      <c r="AA158" s="1022"/>
      <c r="AB158" s="637"/>
      <c r="AC158" s="637"/>
      <c r="AD158" s="637"/>
      <c r="AE158" s="139"/>
      <c r="AF158" s="642"/>
      <c r="AG158" s="583"/>
      <c r="AH158" s="139"/>
      <c r="AI158" s="637"/>
      <c r="AJ158" s="139"/>
      <c r="AK158" s="416" t="str">
        <f t="shared" si="47"/>
        <v/>
      </c>
      <c r="AL158" s="642"/>
      <c r="AM158" s="637"/>
      <c r="AN158" s="637"/>
      <c r="AO158" s="139"/>
      <c r="AP158" s="647"/>
      <c r="AQ158" s="789"/>
      <c r="AR158" s="789"/>
      <c r="AS158" s="790"/>
    </row>
    <row r="159" spans="1:45" x14ac:dyDescent="0.25">
      <c r="A159" s="628"/>
      <c r="B159" s="668" t="s">
        <v>297</v>
      </c>
      <c r="C159" s="668" t="s">
        <v>297</v>
      </c>
      <c r="D159" s="668" t="s">
        <v>297</v>
      </c>
      <c r="E159" s="710"/>
      <c r="F159" s="711"/>
      <c r="G159" s="668"/>
      <c r="H159" s="712"/>
      <c r="I159" s="712"/>
      <c r="J159" s="712"/>
      <c r="K159" s="712"/>
      <c r="L159" s="712"/>
      <c r="M159" s="712"/>
      <c r="N159" s="712"/>
      <c r="O159" s="712"/>
      <c r="P159" s="712"/>
      <c r="Q159" s="712"/>
      <c r="R159" s="712"/>
      <c r="S159" s="712"/>
      <c r="T159" s="712"/>
      <c r="U159" s="712"/>
      <c r="V159" s="712"/>
      <c r="W159" s="712"/>
      <c r="X159" s="760" t="str">
        <f t="shared" si="48"/>
        <v/>
      </c>
      <c r="Y159" s="713"/>
      <c r="Z159" s="712"/>
      <c r="AA159" s="712"/>
      <c r="AB159" s="638"/>
      <c r="AC159" s="638"/>
      <c r="AD159" s="638"/>
      <c r="AE159" s="629"/>
      <c r="AF159" s="666"/>
      <c r="AG159" s="666"/>
      <c r="AH159" s="629"/>
      <c r="AI159" s="638"/>
      <c r="AJ159" s="629"/>
      <c r="AK159" s="639" t="str">
        <f t="shared" si="47"/>
        <v/>
      </c>
      <c r="AL159" s="644"/>
      <c r="AM159" s="638"/>
      <c r="AN159" s="638"/>
      <c r="AO159" s="629"/>
      <c r="AP159" s="648"/>
      <c r="AQ159" s="791"/>
      <c r="AR159" s="791"/>
      <c r="AS159" s="792"/>
    </row>
    <row r="160" spans="1:45" ht="14.45" customHeight="1" x14ac:dyDescent="0.25">
      <c r="A160" s="261"/>
      <c r="B160" s="510" t="s">
        <v>297</v>
      </c>
      <c r="C160" s="510" t="s">
        <v>297</v>
      </c>
      <c r="D160" s="510" t="s">
        <v>297</v>
      </c>
      <c r="E160" s="704"/>
      <c r="F160" s="705"/>
      <c r="G160" s="510"/>
      <c r="H160" s="511"/>
      <c r="I160" s="261"/>
      <c r="J160" s="511"/>
      <c r="K160" s="511"/>
      <c r="L160" s="510"/>
      <c r="M160" s="510"/>
      <c r="N160" s="672"/>
      <c r="O160" s="514"/>
      <c r="P160" s="514" t="s">
        <v>297</v>
      </c>
      <c r="Q160" s="688"/>
      <c r="R160" s="674"/>
      <c r="S160" s="674"/>
      <c r="T160" s="674"/>
      <c r="U160" s="1022"/>
      <c r="V160" s="514"/>
      <c r="W160" s="675"/>
      <c r="X160" s="636" t="str">
        <f t="shared" si="48"/>
        <v/>
      </c>
      <c r="Y160" s="706"/>
      <c r="Z160" s="640"/>
      <c r="AA160" s="1022"/>
      <c r="AB160" s="637"/>
      <c r="AC160" s="637"/>
      <c r="AD160" s="637"/>
      <c r="AE160" s="139"/>
      <c r="AF160" s="642"/>
      <c r="AG160" s="583"/>
      <c r="AH160" s="139"/>
      <c r="AI160" s="637"/>
      <c r="AJ160" s="139"/>
      <c r="AK160" s="416" t="str">
        <f t="shared" si="47"/>
        <v/>
      </c>
      <c r="AL160" s="642"/>
      <c r="AM160" s="637"/>
      <c r="AN160" s="637"/>
      <c r="AO160" s="139"/>
      <c r="AP160" s="647"/>
      <c r="AQ160" s="789"/>
      <c r="AR160" s="789"/>
      <c r="AS160" s="790"/>
    </row>
    <row r="161" spans="1:45" ht="30" x14ac:dyDescent="0.25">
      <c r="A161" s="261" t="s">
        <v>691</v>
      </c>
      <c r="B161" s="510">
        <v>38.006371000000001</v>
      </c>
      <c r="C161" s="510">
        <v>-78.525608000000005</v>
      </c>
      <c r="D161" s="510" t="s">
        <v>296</v>
      </c>
      <c r="E161" s="511">
        <v>276.01</v>
      </c>
      <c r="F161" s="669">
        <v>39162</v>
      </c>
      <c r="G161" s="510" t="s">
        <v>281</v>
      </c>
      <c r="H161" s="511"/>
      <c r="I161" s="511"/>
      <c r="J161" s="511" t="s">
        <v>343</v>
      </c>
      <c r="K161" s="511" t="s">
        <v>315</v>
      </c>
      <c r="L161" s="261"/>
      <c r="M161" s="514">
        <f>N161+O161+P161</f>
        <v>2.8929408167449999</v>
      </c>
      <c r="N161" s="672">
        <v>1.59997200046</v>
      </c>
      <c r="O161" s="514">
        <v>1.2929688162849999</v>
      </c>
      <c r="P161" s="514">
        <v>0</v>
      </c>
      <c r="Q161" s="673">
        <f>+N161/M161</f>
        <v>0.55306074400105176</v>
      </c>
      <c r="R161" s="674">
        <f>IF(L160="TT",(1.76*N161+0.5*O161+0.13*P161)-AF160,1.76*N161+0.5*O161+0.13*P161)</f>
        <v>3.4624351289520998</v>
      </c>
      <c r="S161" s="674">
        <f>IF(L160="TT",(M161*9.39+N161*6.99+O161*2.36)-AK160,M161*9.39+N161*6.99+O161*2.36)</f>
        <v>41.399924958883545</v>
      </c>
      <c r="T161" s="674">
        <f>IF(L160="TT",(M161*676.94+N161*101.08+O161*77.38)-AP160,M161*676.94+N161*101.08+O161*77.38)</f>
        <v>2220.1224532979904</v>
      </c>
      <c r="U161" s="1022" t="s">
        <v>285</v>
      </c>
      <c r="V161" s="514">
        <v>239.44932</v>
      </c>
      <c r="W161" s="675">
        <f>IF(V161="NA", 0, (V161)*12/N161/43560)</f>
        <v>4.1228221482022827E-2</v>
      </c>
      <c r="X161" s="634" t="str">
        <f t="shared" si="48"/>
        <v>NA</v>
      </c>
      <c r="Y161" s="676">
        <f>IF(X161="NA",0,R161*X161)</f>
        <v>0</v>
      </c>
      <c r="Z161" s="635">
        <f>IF(ISNA(VLOOKUP(J161,'Efficiency Lookup'!$B$2:$C$38,2,FALSE)),0,(VLOOKUP(J161,'Efficiency Lookup'!$B$2:$C$38,2,FALSE)))</f>
        <v>0.5</v>
      </c>
      <c r="AA161" s="139">
        <f>R161*Z161</f>
        <v>1.7312175644760499</v>
      </c>
      <c r="AB161" s="640">
        <f>IF(ISNA(VLOOKUP(K161,'Efficiency Lookup'!$D$2:$E$35,2,FALSE)),0,VLOOKUP(K161,'Efficiency Lookup'!$D$2:$E$35,2,FALSE))</f>
        <v>0.75</v>
      </c>
      <c r="AC161" s="1022">
        <f>R161*AB161</f>
        <v>2.5968263467140749</v>
      </c>
      <c r="AD161" s="637">
        <f>IF(U161="RR",IF((0.0304*(W161^5)-0.2619*(W161^4)+0.9161*(W161^3)-1.6837*(W161^2)+1.7072*W161-0.0091)&gt;0.85,0.85,IF((0.0304*(W161^5)-0.2619*(W161^4)+0.9161*(W161^3)-1.6837*(W161^2)+1.7072*W161-0.0091)&lt;0,0,(0.0304*(W161^5)-0.2619*(W161^4)+0.9161*(W161^3)-1.6837*(W161^2)+1.7072*W161-0.0091))),IF((0.0239*(W161^5)-0.2058*(W161^4)+0.7198*(W161^3)-1.3229*(W161^2)+1.3414*W161-0.0072)&gt;0.65,0.65,IF((0.0239*(W161^5)-0.2058*(W161^4)+0.7198*(W161^3)-1.3229*(W161^2)+1.3414*W161-0.0072)&lt;0,0,(0.0239*(W161^5)-0.2058*(W161^4)+0.7198*(W161^3)-1.3229*(W161^2)+1.3414*W161-0.0072))))</f>
        <v>5.8486368989658186E-2</v>
      </c>
      <c r="AE161" s="139">
        <f>R161*AD161</f>
        <v>0.20250525855464724</v>
      </c>
      <c r="AF161" s="516">
        <f>MAX(Y161,AA161,AC161,AE161)</f>
        <v>2.5968263467140749</v>
      </c>
      <c r="AG161" s="636">
        <f>IF(ISNA(VLOOKUP(K161,'Efficiency Lookup'!$D$2:$G$35,3,FALSE)),0,VLOOKUP(K161,'Efficiency Lookup'!$D$2:$G$35,3,FALSE))</f>
        <v>0.7</v>
      </c>
      <c r="AH161" s="1022">
        <f>S161*AG161</f>
        <v>28.97994747121848</v>
      </c>
      <c r="AI161" s="637">
        <f>IF(U161="RR",IF((0.0308*(W161^5)-0.2562*(W161^4)+0.8634*(W161^3)-1.5285*(W161^2)+1.501*W161-0.013)&gt;0.7,0.7,IF((0.0308*(W161^5)-0.2562*(W161^4)+0.8634*(W161^3)-1.5285*(W161^2)+1.501*W161-0.013)&lt;0,0,(0.0308*(W161^5)-0.2562*(W161^4)+0.8634*(W161^3)-1.5285*(W161^2)+1.501*W161-0.013))),IF((0.0152*(W161^5)-0.131*(W161^4)+0.4581*(W161^3)-0.8418*(W161^2)+0.8536*W161-0.0046)&gt;0.65,0.65,IF((0.0152*(W161^5)-0.131*(W161^4)+0.4581*(W161^3)-0.8418*(W161^2)+0.8536*W161-0.0046)&lt;0,0,(0.0152*(W161^5)-0.131*(W161^4)+0.4581*(W161^3)-0.8418*(W161^2)+0.8536*W161-0.0046))))</f>
        <v>4.6345236829169613E-2</v>
      </c>
      <c r="AJ161" s="139">
        <f>S161*AI161</f>
        <v>1.9186893269293079</v>
      </c>
      <c r="AK161" s="416">
        <f t="shared" si="47"/>
        <v>28.97994747121848</v>
      </c>
      <c r="AL161" s="641">
        <f>IF(ISNA(VLOOKUP(K161,'Efficiency Lookup'!$D$2:$G$35,4,FALSE)),0,VLOOKUP(K161,'Efficiency Lookup'!$D$2:$G$35,4,FALSE))</f>
        <v>0.8</v>
      </c>
      <c r="AM161" s="1022">
        <f>T161*AL161</f>
        <v>1776.0979626383923</v>
      </c>
      <c r="AN161" s="637">
        <f>IF(U161="RR",IF((0.0326*(W161^5)-0.2806*(W161^4)+0.9816*(W161^3)-1.8039*(W161^2)+1.8292*W161-0.0098)&gt;0.85,0.85,IF((0.0326*(W161^5)-0.2806*(W161^4)+0.9816*(W161^3)-1.8039*(W161^2)+1.8292*W161-0.0098)&lt;0,0,(0.0326*(W161^5)-0.2806*(W161^4)+0.9816*(W161^3)-1.8039*(W161^2)+1.8292*W161-0.0098))),IF((0.0304*(W161^5)-0.2619*(W161^4)+0.9161*(W161^3)-1.6837*(W161^2)+1.7072*W161-0.0091)&gt;0.8,0.8,IF((0.0304*(W161^5)-0.2619*(W161^4)+0.9161*(W161^3)-1.6837*(W161^2)+1.7072*W161-0.0091)&lt;0,0,(0.0304*(W161^5)-0.2619*(W161^4)+0.9161*(W161^3)-1.6837*(W161^2)+1.7072*W161-0.0091))))</f>
        <v>6.2616436472768044E-2</v>
      </c>
      <c r="AO161" s="139">
        <f>T161*AN161</f>
        <v>139.01615655869955</v>
      </c>
      <c r="AP161" s="647">
        <f>IF(AK161=AH161,AM161,AO161)</f>
        <v>1776.0979626383923</v>
      </c>
      <c r="AQ161" s="789">
        <f>IF(AF161&lt;0,0,AF161)</f>
        <v>2.5968263467140749</v>
      </c>
      <c r="AR161" s="789">
        <f>IF(AK161&lt;0,0,AK161)</f>
        <v>28.97994747121848</v>
      </c>
      <c r="AS161" s="790">
        <f>IF(AP161&lt;0,0,AP161)</f>
        <v>1776.0979626383923</v>
      </c>
    </row>
    <row r="162" spans="1:45" x14ac:dyDescent="0.25">
      <c r="A162" s="261"/>
      <c r="B162" s="510" t="s">
        <v>297</v>
      </c>
      <c r="C162" s="510" t="s">
        <v>297</v>
      </c>
      <c r="D162" s="510" t="s">
        <v>297</v>
      </c>
      <c r="E162" s="511"/>
      <c r="F162" s="705"/>
      <c r="G162" s="510"/>
      <c r="H162" s="511"/>
      <c r="I162" s="261"/>
      <c r="J162" s="511"/>
      <c r="K162" s="511"/>
      <c r="L162" s="510"/>
      <c r="M162" s="510"/>
      <c r="N162" s="672"/>
      <c r="O162" s="514"/>
      <c r="P162" s="514" t="s">
        <v>297</v>
      </c>
      <c r="Q162" s="688"/>
      <c r="R162" s="674"/>
      <c r="S162" s="674"/>
      <c r="T162" s="674"/>
      <c r="U162" s="1022"/>
      <c r="V162" s="514"/>
      <c r="W162" s="675"/>
      <c r="X162" s="636" t="str">
        <f t="shared" si="48"/>
        <v/>
      </c>
      <c r="Y162" s="706"/>
      <c r="Z162" s="640"/>
      <c r="AA162" s="1022"/>
      <c r="AB162" s="637"/>
      <c r="AC162" s="637"/>
      <c r="AD162" s="637"/>
      <c r="AE162" s="139"/>
      <c r="AF162" s="642"/>
      <c r="AG162" s="583"/>
      <c r="AH162" s="139"/>
      <c r="AI162" s="637"/>
      <c r="AJ162" s="139"/>
      <c r="AK162" s="416" t="str">
        <f t="shared" si="47"/>
        <v/>
      </c>
      <c r="AL162" s="642"/>
      <c r="AM162" s="637"/>
      <c r="AN162" s="637"/>
      <c r="AO162" s="139"/>
      <c r="AP162" s="647"/>
      <c r="AQ162" s="789"/>
      <c r="AR162" s="789"/>
      <c r="AS162" s="790"/>
    </row>
    <row r="163" spans="1:45" x14ac:dyDescent="0.25">
      <c r="A163" s="628"/>
      <c r="B163" s="668" t="s">
        <v>297</v>
      </c>
      <c r="C163" s="668" t="s">
        <v>297</v>
      </c>
      <c r="D163" s="668" t="s">
        <v>297</v>
      </c>
      <c r="E163" s="710"/>
      <c r="F163" s="711"/>
      <c r="G163" s="668"/>
      <c r="H163" s="712"/>
      <c r="I163" s="712"/>
      <c r="J163" s="712"/>
      <c r="K163" s="712"/>
      <c r="L163" s="712"/>
      <c r="M163" s="712"/>
      <c r="N163" s="712"/>
      <c r="O163" s="712"/>
      <c r="P163" s="712"/>
      <c r="Q163" s="712"/>
      <c r="R163" s="712"/>
      <c r="S163" s="712"/>
      <c r="T163" s="712"/>
      <c r="U163" s="712"/>
      <c r="V163" s="712"/>
      <c r="W163" s="712"/>
      <c r="X163" s="760" t="str">
        <f t="shared" si="48"/>
        <v/>
      </c>
      <c r="Y163" s="713"/>
      <c r="Z163" s="712"/>
      <c r="AA163" s="712"/>
      <c r="AB163" s="638"/>
      <c r="AC163" s="638"/>
      <c r="AD163" s="638"/>
      <c r="AE163" s="629"/>
      <c r="AF163" s="666"/>
      <c r="AG163" s="666"/>
      <c r="AH163" s="629"/>
      <c r="AI163" s="638"/>
      <c r="AJ163" s="629"/>
      <c r="AK163" s="639" t="str">
        <f t="shared" si="47"/>
        <v/>
      </c>
      <c r="AL163" s="644"/>
      <c r="AM163" s="638"/>
      <c r="AN163" s="638"/>
      <c r="AO163" s="629"/>
      <c r="AP163" s="648"/>
      <c r="AQ163" s="791"/>
      <c r="AR163" s="791"/>
      <c r="AS163" s="792"/>
    </row>
    <row r="164" spans="1:45" ht="14.45" customHeight="1" x14ac:dyDescent="0.25">
      <c r="A164" s="261"/>
      <c r="B164" s="510" t="s">
        <v>297</v>
      </c>
      <c r="C164" s="510" t="s">
        <v>297</v>
      </c>
      <c r="D164" s="510" t="s">
        <v>297</v>
      </c>
      <c r="E164" s="704"/>
      <c r="F164" s="705"/>
      <c r="G164" s="510"/>
      <c r="H164" s="511"/>
      <c r="I164" s="261"/>
      <c r="J164" s="511"/>
      <c r="K164" s="511"/>
      <c r="L164" s="510"/>
      <c r="M164" s="510"/>
      <c r="N164" s="672"/>
      <c r="O164" s="514"/>
      <c r="P164" s="514" t="s">
        <v>297</v>
      </c>
      <c r="Q164" s="688"/>
      <c r="R164" s="674"/>
      <c r="S164" s="674"/>
      <c r="T164" s="674"/>
      <c r="U164" s="1022"/>
      <c r="V164" s="514"/>
      <c r="W164" s="675"/>
      <c r="X164" s="636" t="str">
        <f t="shared" si="48"/>
        <v/>
      </c>
      <c r="Y164" s="706"/>
      <c r="Z164" s="640"/>
      <c r="AA164" s="1022"/>
      <c r="AB164" s="637"/>
      <c r="AC164" s="637"/>
      <c r="AD164" s="637"/>
      <c r="AE164" s="139"/>
      <c r="AF164" s="642"/>
      <c r="AG164" s="583"/>
      <c r="AH164" s="139"/>
      <c r="AI164" s="637"/>
      <c r="AJ164" s="139"/>
      <c r="AK164" s="416" t="str">
        <f t="shared" si="47"/>
        <v/>
      </c>
      <c r="AL164" s="642"/>
      <c r="AM164" s="637"/>
      <c r="AN164" s="637"/>
      <c r="AO164" s="139"/>
      <c r="AP164" s="647"/>
      <c r="AQ164" s="789"/>
      <c r="AR164" s="789"/>
      <c r="AS164" s="790"/>
    </row>
    <row r="165" spans="1:45" ht="30" x14ac:dyDescent="0.25">
      <c r="A165" s="261" t="s">
        <v>692</v>
      </c>
      <c r="B165" s="510">
        <v>38.001935000000003</v>
      </c>
      <c r="C165" s="510">
        <v>-78.501593</v>
      </c>
      <c r="D165" s="510" t="s">
        <v>296</v>
      </c>
      <c r="E165" s="511">
        <v>279.01</v>
      </c>
      <c r="F165" s="669">
        <v>39239</v>
      </c>
      <c r="G165" s="510" t="s">
        <v>281</v>
      </c>
      <c r="H165" s="511"/>
      <c r="I165" s="511"/>
      <c r="J165" s="511" t="s">
        <v>343</v>
      </c>
      <c r="K165" s="511" t="s">
        <v>315</v>
      </c>
      <c r="L165" s="261"/>
      <c r="M165" s="514">
        <f>N165+O165+P165</f>
        <v>4.9043300249409389</v>
      </c>
      <c r="N165" s="672">
        <v>1.4703285619199999</v>
      </c>
      <c r="O165" s="514">
        <v>2.3536510329422393</v>
      </c>
      <c r="P165" s="514">
        <v>1.0803504300786999</v>
      </c>
      <c r="Q165" s="673">
        <f>+N165/M165</f>
        <v>0.29980212474337031</v>
      </c>
      <c r="R165" s="674">
        <f>IF(L164="TT",(1.76*N165+0.5*O165+0.13*P165)-AF164,1.76*N165+0.5*O165+0.13*P165)</f>
        <v>3.9050493413605505</v>
      </c>
      <c r="S165" s="674">
        <f>IF(L164="TT",(M165*9.39+N165*6.99+O165*2.36)-AK164,M165*9.39+N165*6.99+O165*2.36)</f>
        <v>61.883872019759906</v>
      </c>
      <c r="T165" s="674">
        <f>IF(L164="TT",(M165*676.94+N165*101.08+O165*77.38)-AP164,M165*676.94+N165*101.08+O165*77.38)</f>
        <v>3650.6834950514631</v>
      </c>
      <c r="U165" s="1022" t="s">
        <v>285</v>
      </c>
      <c r="V165" s="514">
        <v>1002.35916</v>
      </c>
      <c r="W165" s="675">
        <f>IF(V165="NA", 0, (V165)*12/N165/43560)</f>
        <v>0.18780292184450148</v>
      </c>
      <c r="X165" s="634" t="str">
        <f t="shared" si="48"/>
        <v>NA</v>
      </c>
      <c r="Y165" s="676">
        <f>IF(X165="NA",0,R165*X165)</f>
        <v>0</v>
      </c>
      <c r="Z165" s="635">
        <f>IF(ISNA(VLOOKUP(J165,'Efficiency Lookup'!$B$2:$C$38,2,FALSE)),0,(VLOOKUP(J165,'Efficiency Lookup'!$B$2:$C$38,2,FALSE)))</f>
        <v>0.5</v>
      </c>
      <c r="AA165" s="139">
        <f>R165*Z165</f>
        <v>1.9525246706802752</v>
      </c>
      <c r="AB165" s="640">
        <f>IF(ISNA(VLOOKUP(K165,'Efficiency Lookup'!$D$2:$E$35,2,FALSE)),0,VLOOKUP(K165,'Efficiency Lookup'!$D$2:$E$35,2,FALSE))</f>
        <v>0.75</v>
      </c>
      <c r="AC165" s="1022">
        <f>R165*AB165</f>
        <v>2.9287870060204129</v>
      </c>
      <c r="AD165" s="637">
        <f>IF(U165="RR",IF((0.0304*(W165^5)-0.2619*(W165^4)+0.9161*(W165^3)-1.6837*(W165^2)+1.7072*W165-0.0091)&gt;0.85,0.85,IF((0.0304*(W165^5)-0.2619*(W165^4)+0.9161*(W165^3)-1.6837*(W165^2)+1.7072*W165-0.0091)&lt;0,0,(0.0304*(W165^5)-0.2619*(W165^4)+0.9161*(W165^3)-1.6837*(W165^2)+1.7072*W165-0.0091))),IF((0.0239*(W165^5)-0.2058*(W165^4)+0.7198*(W165^3)-1.3229*(W165^2)+1.3414*W165-0.0072)&gt;0.65,0.65,IF((0.0239*(W165^5)-0.2058*(W165^4)+0.7198*(W165^3)-1.3229*(W165^2)+1.3414*W165-0.0072)&lt;0,0,(0.0239*(W165^5)-0.2058*(W165^4)+0.7198*(W165^3)-1.3229*(W165^2)+1.3414*W165-0.0072))))</f>
        <v>0.25788252192457961</v>
      </c>
      <c r="AE165" s="139">
        <f>R165*AD165</f>
        <v>1.0070439723899773</v>
      </c>
      <c r="AF165" s="516">
        <f>MAX(Y165,AA165,AC165,AE165)</f>
        <v>2.9287870060204129</v>
      </c>
      <c r="AG165" s="636">
        <f>IF(ISNA(VLOOKUP(K165,'Efficiency Lookup'!$D$2:$G$35,3,FALSE)),0,VLOOKUP(K165,'Efficiency Lookup'!$D$2:$G$35,3,FALSE))</f>
        <v>0.7</v>
      </c>
      <c r="AH165" s="1022">
        <f>S165*AG165</f>
        <v>43.31871041383193</v>
      </c>
      <c r="AI165" s="637">
        <f>IF(U165="RR",IF((0.0308*(W165^5)-0.2562*(W165^4)+0.8634*(W165^3)-1.5285*(W165^2)+1.501*W165-0.013)&gt;0.7,0.7,IF((0.0308*(W165^5)-0.2562*(W165^4)+0.8634*(W165^3)-1.5285*(W165^2)+1.501*W165-0.013)&lt;0,0,(0.0308*(W165^5)-0.2562*(W165^4)+0.8634*(W165^3)-1.5285*(W165^2)+1.501*W165-0.013))),IF((0.0152*(W165^5)-0.131*(W165^4)+0.4581*(W165^3)-0.8418*(W165^2)+0.8536*W165-0.0046)&gt;0.65,0.65,IF((0.0152*(W165^5)-0.131*(W165^4)+0.4581*(W165^3)-0.8418*(W165^2)+0.8536*W165-0.0046)&lt;0,0,(0.0152*(W165^5)-0.131*(W165^4)+0.4581*(W165^3)-0.8418*(W165^2)+0.8536*W165-0.0046))))</f>
        <v>0.22038956368366919</v>
      </c>
      <c r="AJ165" s="139">
        <f>S165*AI165</f>
        <v>13.638559553490909</v>
      </c>
      <c r="AK165" s="416">
        <f t="shared" si="47"/>
        <v>43.31871041383193</v>
      </c>
      <c r="AL165" s="641">
        <f>IF(ISNA(VLOOKUP(K165,'Efficiency Lookup'!$D$2:$G$35,4,FALSE)),0,VLOOKUP(K165,'Efficiency Lookup'!$D$2:$G$35,4,FALSE))</f>
        <v>0.8</v>
      </c>
      <c r="AM165" s="1022">
        <f>T165*AL165</f>
        <v>2920.5467960411706</v>
      </c>
      <c r="AN165" s="637">
        <f>IF(U165="RR",IF((0.0326*(W165^5)-0.2806*(W165^4)+0.9816*(W165^3)-1.8039*(W165^2)+1.8292*W165-0.0098)&gt;0.85,0.85,IF((0.0326*(W165^5)-0.2806*(W165^4)+0.9816*(W165^3)-1.8039*(W165^2)+1.8292*W165-0.0098)&lt;0,0,(0.0326*(W165^5)-0.2806*(W165^4)+0.9816*(W165^3)-1.8039*(W165^2)+1.8292*W165-0.0098))),IF((0.0304*(W165^5)-0.2619*(W165^4)+0.9161*(W165^3)-1.6837*(W165^2)+1.7072*W165-0.0091)&gt;0.8,0.8,IF((0.0304*(W165^5)-0.2619*(W165^4)+0.9161*(W165^3)-1.6837*(W165^2)+1.7072*W165-0.0091)&lt;0,0,(0.0304*(W165^5)-0.2619*(W165^4)+0.9161*(W165^3)-1.6837*(W165^2)+1.7072*W165-0.0091))))</f>
        <v>0.27626614238661928</v>
      </c>
      <c r="AO165" s="139">
        <f>T165*AN165</f>
        <v>1008.5602462523684</v>
      </c>
      <c r="AP165" s="647">
        <f>IF(AK165=AH165,AM165,AO165)</f>
        <v>2920.5467960411706</v>
      </c>
      <c r="AQ165" s="789">
        <f>IF(AF165&lt;0,0,AF165)</f>
        <v>2.9287870060204129</v>
      </c>
      <c r="AR165" s="789">
        <f>IF(AK165&lt;0,0,AK165)</f>
        <v>43.31871041383193</v>
      </c>
      <c r="AS165" s="790">
        <f>IF(AP165&lt;0,0,AP165)</f>
        <v>2920.5467960411706</v>
      </c>
    </row>
    <row r="166" spans="1:45" x14ac:dyDescent="0.25">
      <c r="A166" s="261"/>
      <c r="B166" s="510" t="s">
        <v>297</v>
      </c>
      <c r="C166" s="510" t="s">
        <v>297</v>
      </c>
      <c r="D166" s="510" t="s">
        <v>297</v>
      </c>
      <c r="E166" s="511"/>
      <c r="F166" s="705"/>
      <c r="G166" s="510"/>
      <c r="H166" s="511"/>
      <c r="I166" s="261"/>
      <c r="J166" s="511"/>
      <c r="K166" s="511"/>
      <c r="L166" s="510"/>
      <c r="M166" s="510"/>
      <c r="N166" s="672"/>
      <c r="O166" s="514"/>
      <c r="P166" s="514" t="s">
        <v>297</v>
      </c>
      <c r="Q166" s="688"/>
      <c r="R166" s="674"/>
      <c r="S166" s="674"/>
      <c r="T166" s="674"/>
      <c r="U166" s="1022"/>
      <c r="V166" s="514"/>
      <c r="W166" s="675"/>
      <c r="X166" s="636" t="str">
        <f t="shared" si="48"/>
        <v/>
      </c>
      <c r="Y166" s="706"/>
      <c r="Z166" s="640"/>
      <c r="AA166" s="1022"/>
      <c r="AB166" s="637"/>
      <c r="AC166" s="637"/>
      <c r="AD166" s="637"/>
      <c r="AE166" s="139"/>
      <c r="AF166" s="642"/>
      <c r="AG166" s="583"/>
      <c r="AH166" s="139"/>
      <c r="AI166" s="637"/>
      <c r="AJ166" s="139"/>
      <c r="AK166" s="416" t="str">
        <f t="shared" si="47"/>
        <v/>
      </c>
      <c r="AL166" s="642"/>
      <c r="AM166" s="637"/>
      <c r="AN166" s="637"/>
      <c r="AO166" s="139"/>
      <c r="AP166" s="647"/>
      <c r="AQ166" s="789"/>
      <c r="AR166" s="789"/>
      <c r="AS166" s="790"/>
    </row>
    <row r="167" spans="1:45" x14ac:dyDescent="0.25">
      <c r="A167" s="628"/>
      <c r="B167" s="668" t="s">
        <v>297</v>
      </c>
      <c r="C167" s="668" t="s">
        <v>297</v>
      </c>
      <c r="D167" s="668" t="s">
        <v>297</v>
      </c>
      <c r="E167" s="710"/>
      <c r="F167" s="711"/>
      <c r="G167" s="668"/>
      <c r="H167" s="712"/>
      <c r="I167" s="712"/>
      <c r="J167" s="712"/>
      <c r="K167" s="712"/>
      <c r="L167" s="712"/>
      <c r="M167" s="712"/>
      <c r="N167" s="712"/>
      <c r="O167" s="712"/>
      <c r="P167" s="712"/>
      <c r="Q167" s="712"/>
      <c r="R167" s="712"/>
      <c r="S167" s="712"/>
      <c r="T167" s="712"/>
      <c r="U167" s="712"/>
      <c r="V167" s="712"/>
      <c r="W167" s="712"/>
      <c r="X167" s="760" t="str">
        <f t="shared" si="48"/>
        <v/>
      </c>
      <c r="Y167" s="713"/>
      <c r="Z167" s="712"/>
      <c r="AA167" s="712"/>
      <c r="AB167" s="638"/>
      <c r="AC167" s="638"/>
      <c r="AD167" s="638"/>
      <c r="AE167" s="629"/>
      <c r="AF167" s="666"/>
      <c r="AG167" s="666"/>
      <c r="AH167" s="629"/>
      <c r="AI167" s="638"/>
      <c r="AJ167" s="629"/>
      <c r="AK167" s="639" t="str">
        <f t="shared" si="47"/>
        <v/>
      </c>
      <c r="AL167" s="644"/>
      <c r="AM167" s="638"/>
      <c r="AN167" s="638"/>
      <c r="AO167" s="629"/>
      <c r="AP167" s="648"/>
      <c r="AQ167" s="791"/>
      <c r="AR167" s="791"/>
      <c r="AS167" s="792"/>
    </row>
    <row r="168" spans="1:45" ht="14.45" customHeight="1" x14ac:dyDescent="0.25">
      <c r="A168" s="261"/>
      <c r="B168" s="510" t="s">
        <v>297</v>
      </c>
      <c r="C168" s="510" t="s">
        <v>297</v>
      </c>
      <c r="D168" s="510" t="s">
        <v>297</v>
      </c>
      <c r="E168" s="704"/>
      <c r="F168" s="705"/>
      <c r="G168" s="510"/>
      <c r="H168" s="511"/>
      <c r="I168" s="261"/>
      <c r="J168" s="511"/>
      <c r="K168" s="511"/>
      <c r="L168" s="510"/>
      <c r="M168" s="510"/>
      <c r="N168" s="672"/>
      <c r="O168" s="514"/>
      <c r="P168" s="514" t="s">
        <v>297</v>
      </c>
      <c r="Q168" s="688"/>
      <c r="R168" s="674"/>
      <c r="S168" s="674"/>
      <c r="T168" s="674"/>
      <c r="U168" s="1022"/>
      <c r="V168" s="514"/>
      <c r="W168" s="675"/>
      <c r="X168" s="636" t="str">
        <f t="shared" si="48"/>
        <v/>
      </c>
      <c r="Y168" s="706"/>
      <c r="Z168" s="640"/>
      <c r="AA168" s="1022"/>
      <c r="AB168" s="637"/>
      <c r="AC168" s="637"/>
      <c r="AD168" s="637"/>
      <c r="AE168" s="139"/>
      <c r="AF168" s="642"/>
      <c r="AG168" s="583"/>
      <c r="AH168" s="139"/>
      <c r="AI168" s="637"/>
      <c r="AJ168" s="139"/>
      <c r="AK168" s="416" t="str">
        <f t="shared" si="47"/>
        <v/>
      </c>
      <c r="AL168" s="642"/>
      <c r="AM168" s="637"/>
      <c r="AN168" s="637"/>
      <c r="AO168" s="139"/>
      <c r="AP168" s="647"/>
      <c r="AQ168" s="789"/>
      <c r="AR168" s="789"/>
      <c r="AS168" s="790"/>
    </row>
    <row r="169" spans="1:45" ht="30" x14ac:dyDescent="0.25">
      <c r="A169" s="261" t="s">
        <v>424</v>
      </c>
      <c r="B169" s="510">
        <v>38.100884000000001</v>
      </c>
      <c r="C169" s="510">
        <v>-78.445425999999998</v>
      </c>
      <c r="D169" s="510" t="s">
        <v>296</v>
      </c>
      <c r="E169" s="511">
        <v>344.01</v>
      </c>
      <c r="F169" s="669">
        <v>40679</v>
      </c>
      <c r="G169" s="510" t="s">
        <v>281</v>
      </c>
      <c r="H169" s="670"/>
      <c r="I169" s="511"/>
      <c r="J169" s="511" t="s">
        <v>343</v>
      </c>
      <c r="K169" s="511" t="s">
        <v>315</v>
      </c>
      <c r="L169" s="261"/>
      <c r="M169" s="671">
        <f>N169+O169+P169</f>
        <v>10.550970771519999</v>
      </c>
      <c r="N169" s="672">
        <v>2.4211139395500001</v>
      </c>
      <c r="O169" s="514">
        <v>5.2276195615000001</v>
      </c>
      <c r="P169" s="514">
        <v>2.9022372704700001</v>
      </c>
      <c r="Q169" s="673">
        <f>+N169/M169</f>
        <v>0.22946835812352537</v>
      </c>
      <c r="R169" s="674">
        <f>IF(L168="TT",(1.76*N169+0.5*O169+0.13*P169)-AF168,1.76*N169+0.5*O169+0.13*P169)</f>
        <v>7.2522611595191</v>
      </c>
      <c r="S169" s="674">
        <f>IF(L168="TT",(M169*9.39+N169*6.99+O169*2.36)-AK168,M169*9.39+N169*6.99+O169*2.36)</f>
        <v>128.3343841471673</v>
      </c>
      <c r="T169" s="674">
        <f>IF(L168="TT",(M169*676.94+N169*101.08+O169*77.38)-AP168,M169*676.94+N169*101.08+O169*77.38)</f>
        <v>7791.6135527513334</v>
      </c>
      <c r="U169" s="1022" t="s">
        <v>285</v>
      </c>
      <c r="V169" s="514">
        <v>2310</v>
      </c>
      <c r="W169" s="675">
        <f>IF(V169="NA", 0, (V169)*12/N169/43560)</f>
        <v>0.2628391939628888</v>
      </c>
      <c r="X169" s="634" t="str">
        <f t="shared" si="48"/>
        <v>NA</v>
      </c>
      <c r="Y169" s="676">
        <f>IF(X169="NA",0,R169*X169)</f>
        <v>0</v>
      </c>
      <c r="Z169" s="635">
        <f>IF(ISNA(VLOOKUP(J169,'Efficiency Lookup'!$B$2:$C$38,2,FALSE)),0,(VLOOKUP(J169,'Efficiency Lookup'!$B$2:$C$38,2,FALSE)))</f>
        <v>0.5</v>
      </c>
      <c r="AA169" s="139">
        <f>R169*Z169</f>
        <v>3.62613057975955</v>
      </c>
      <c r="AB169" s="1061">
        <f>IF(ISNA(VLOOKUP(K169,'Efficiency Lookup'!$D$2:$E$35,2,FALSE)),0,VLOOKUP(K169,'Efficiency Lookup'!$D$2:$E$35,2,FALSE))</f>
        <v>0.75</v>
      </c>
      <c r="AC169" s="1005">
        <f>R169*AB169</f>
        <v>5.4391958696393248</v>
      </c>
      <c r="AD169" s="637">
        <f>IF(U169="RR",IF((0.0304*(W169^5)-0.2619*(W169^4)+0.9161*(W169^3)-1.6837*(W169^2)+1.7072*W169-0.0091)&gt;0.85,0.85,IF((0.0304*(W169^5)-0.2619*(W169^4)+0.9161*(W169^3)-1.6837*(W169^2)+1.7072*W169-0.0091)&lt;0,0,(0.0304*(W169^5)-0.2619*(W169^4)+0.9161*(W169^3)-1.6837*(W169^2)+1.7072*W169-0.0091))),IF((0.0239*(W169^5)-0.2058*(W169^4)+0.7198*(W169^3)-1.3229*(W169^2)+1.3414*W169-0.0072)&gt;0.65,0.65,IF((0.0239*(W169^5)-0.2058*(W169^4)+0.7198*(W169^3)-1.3229*(W169^2)+1.3414*W169-0.0072)&lt;0,0,(0.0239*(W169^5)-0.2058*(W169^4)+0.7198*(W169^3)-1.3229*(W169^2)+1.3414*W169-0.0072))))</f>
        <v>0.33872440700514439</v>
      </c>
      <c r="AE169" s="139">
        <f>R169*AD169</f>
        <v>2.4565178607045479</v>
      </c>
      <c r="AF169" s="516">
        <f>MAX(Y169,AA169,AC169,AE169)</f>
        <v>5.4391958696393248</v>
      </c>
      <c r="AG169" s="641">
        <f>IF(ISNA(VLOOKUP(K169,'Efficiency Lookup'!$D$2:$G$35,3,FALSE)),0,VLOOKUP(K169,'Efficiency Lookup'!$D$2:$G$35,3,FALSE))</f>
        <v>0.7</v>
      </c>
      <c r="AH169" s="1005">
        <f>S169*AG169</f>
        <v>89.834068903017098</v>
      </c>
      <c r="AI169" s="637">
        <f>IF(U169="RR",IF((0.0308*(W169^5)-0.2562*(W169^4)+0.8634*(W169^3)-1.5285*(W169^2)+1.501*W169-0.013)&gt;0.7,0.7,IF((0.0308*(W169^5)-0.2562*(W169^4)+0.8634*(W169^3)-1.5285*(W169^2)+1.501*W169-0.013)&lt;0,0,(0.0308*(W169^5)-0.2562*(W169^4)+0.8634*(W169^3)-1.5285*(W169^2)+1.501*W169-0.013))),IF((0.0152*(W169^5)-0.131*(W169^4)+0.4581*(W169^3)-0.8418*(W169^2)+0.8536*W169-0.0046)&gt;0.65,0.65,IF((0.0152*(W169^5)-0.131*(W169^4)+0.4581*(W169^3)-0.8418*(W169^2)+0.8536*W169-0.0046)&lt;0,0,(0.0152*(W169^5)-0.131*(W169^4)+0.4581*(W169^3)-0.8418*(W169^2)+0.8536*W169-0.0046))))</f>
        <v>0.29041964471138121</v>
      </c>
      <c r="AJ169" s="139">
        <f>S169*AI169</f>
        <v>37.27082624827424</v>
      </c>
      <c r="AK169" s="416">
        <f t="shared" si="47"/>
        <v>89.834068903017098</v>
      </c>
      <c r="AL169" s="641">
        <f>IF(ISNA(VLOOKUP(K169,'Efficiency Lookup'!$D$2:$G$35,4,FALSE)),0,VLOOKUP(K169,'Efficiency Lookup'!$D$2:$G$35,4,FALSE))</f>
        <v>0.8</v>
      </c>
      <c r="AM169" s="1005">
        <f>T169*AL169</f>
        <v>6233.2908422010669</v>
      </c>
      <c r="AN169" s="637">
        <f>IF(U169="RR",IF((0.0326*(W169^5)-0.2806*(W169^4)+0.9816*(W169^3)-1.8039*(W169^2)+1.8292*W169-0.0098)&gt;0.85,0.85,IF((0.0326*(W169^5)-0.2806*(W169^4)+0.9816*(W169^3)-1.8039*(W169^2)+1.8292*W169-0.0098)&lt;0,0,(0.0326*(W169^5)-0.2806*(W169^4)+0.9816*(W169^3)-1.8039*(W169^2)+1.8292*W169-0.0098))),IF((0.0304*(W169^5)-0.2619*(W169^4)+0.9161*(W169^3)-1.6837*(W169^2)+1.7072*W169-0.0091)&gt;0.8,0.8,IF((0.0304*(W169^5)-0.2619*(W169^4)+0.9161*(W169^3)-1.6837*(W169^2)+1.7072*W169-0.0091)&lt;0,0,(0.0304*(W169^5)-0.2619*(W169^4)+0.9161*(W169^3)-1.6837*(W169^2)+1.7072*W169-0.0091))))</f>
        <v>0.36288970526871528</v>
      </c>
      <c r="AO169" s="139">
        <f>T169*AN169</f>
        <v>2827.496345725659</v>
      </c>
      <c r="AP169" s="647">
        <f>IF(AK169=AH169,AM169,AO169)</f>
        <v>6233.2908422010669</v>
      </c>
      <c r="AQ169" s="789">
        <f>IF(AF169&lt;0,0,AF169)</f>
        <v>5.4391958696393248</v>
      </c>
      <c r="AR169" s="789">
        <f>IF(AK169&lt;0,0,AK169)</f>
        <v>89.834068903017098</v>
      </c>
      <c r="AS169" s="790">
        <f>IF(AP169&lt;0,0,AP169)</f>
        <v>6233.2908422010669</v>
      </c>
    </row>
    <row r="170" spans="1:45" ht="30" x14ac:dyDescent="0.25">
      <c r="A170" s="261"/>
      <c r="B170" s="510">
        <v>38.103155000000001</v>
      </c>
      <c r="C170" s="510">
        <v>-78.444265999999999</v>
      </c>
      <c r="D170" s="510" t="s">
        <v>296</v>
      </c>
      <c r="E170" s="511">
        <v>344.02</v>
      </c>
      <c r="F170" s="669">
        <v>40679</v>
      </c>
      <c r="G170" s="510" t="s">
        <v>293</v>
      </c>
      <c r="H170" s="670"/>
      <c r="I170" s="511"/>
      <c r="J170" s="511" t="s">
        <v>358</v>
      </c>
      <c r="K170" s="511" t="s">
        <v>615</v>
      </c>
      <c r="L170" s="261"/>
      <c r="M170" s="671">
        <f>N170+O170+P170</f>
        <v>9.2465799900254453</v>
      </c>
      <c r="N170" s="672">
        <v>1.75803388349</v>
      </c>
      <c r="O170" s="514">
        <v>2.699311481285446</v>
      </c>
      <c r="P170" s="514">
        <v>4.7892346252499998</v>
      </c>
      <c r="Q170" s="673">
        <f>+N170/M170</f>
        <v>0.19012801331805299</v>
      </c>
      <c r="R170" s="674">
        <f>IF(L169="TT",(1.76*N170+0.5*O170+0.13*P170)-AF169,1.76*N170+0.5*O170+0.13*P170)</f>
        <v>5.0663958768676238</v>
      </c>
      <c r="S170" s="674">
        <f>IF(L169="TT",(M170*9.39+N170*6.99+O170*2.36)-AK169,M170*9.39+N170*6.99+O170*2.36)</f>
        <v>105.48441804776769</v>
      </c>
      <c r="T170" s="674">
        <f>IF(L169="TT",(M170*676.94+N170*101.08+O170*77.38)-AP169,M170*676.94+N170*101.08+O170*77.38)</f>
        <v>6645.9546458128616</v>
      </c>
      <c r="U170" s="1022" t="s">
        <v>278</v>
      </c>
      <c r="V170" s="514" t="s">
        <v>295</v>
      </c>
      <c r="W170" s="675">
        <f>IF(V170="NA", 0, (V170)*12/N170/43560)</f>
        <v>0</v>
      </c>
      <c r="X170" s="634" t="str">
        <f t="shared" si="48"/>
        <v>NA</v>
      </c>
      <c r="Y170" s="676">
        <f>IF(X170="NA",0,R170*X170)</f>
        <v>0</v>
      </c>
      <c r="Z170" s="1061">
        <f>IF(ISNA(VLOOKUP(J170,'Efficiency Lookup'!$B$2:$C$38,2,FALSE)),0,(VLOOKUP(J170,'Efficiency Lookup'!$B$2:$C$38,2,FALSE)))</f>
        <v>0.35</v>
      </c>
      <c r="AA170" s="1005">
        <f>R170*Z170</f>
        <v>1.7732385569036682</v>
      </c>
      <c r="AB170" s="635">
        <f>IF(ISNA(VLOOKUP(K170,'Efficiency Lookup'!$D$2:$E$35,2,FALSE)),0,VLOOKUP(K170,'Efficiency Lookup'!$D$2:$E$35,2,FALSE))</f>
        <v>0.1</v>
      </c>
      <c r="AC170" s="139">
        <f>R170*AB170</f>
        <v>0.50663958768676243</v>
      </c>
      <c r="AD170" s="637">
        <f>IF(U170="RR",IF((0.0304*(W170^5)-0.2619*(W170^4)+0.9161*(W170^3)-1.6837*(W170^2)+1.7072*W170-0.0091)&gt;0.85,0.85,IF((0.0304*(W170^5)-0.2619*(W170^4)+0.9161*(W170^3)-1.6837*(W170^2)+1.7072*W170-0.0091)&lt;0,0,(0.0304*(W170^5)-0.2619*(W170^4)+0.9161*(W170^3)-1.6837*(W170^2)+1.7072*W170-0.0091))),IF((0.0239*(W170^5)-0.2058*(W170^4)+0.7198*(W170^3)-1.3229*(W170^2)+1.3414*W170-0.0072)&gt;0.65,0.65,IF((0.0239*(W170^5)-0.2058*(W170^4)+0.7198*(W170^3)-1.3229*(W170^2)+1.3414*W170-0.0072)&lt;0,0,(0.0239*(W170^5)-0.2058*(W170^4)+0.7198*(W170^3)-1.3229*(W170^2)+1.3414*W170-0.0072))))</f>
        <v>0</v>
      </c>
      <c r="AE170" s="139">
        <f>R170*AD170</f>
        <v>0</v>
      </c>
      <c r="AF170" s="516">
        <f>MAX(Y170,AA170,AC170,AE170)</f>
        <v>1.7732385569036682</v>
      </c>
      <c r="AG170" s="641">
        <f>IF(ISNA(VLOOKUP(K170,'Efficiency Lookup'!$D$2:$G$35,3,FALSE)),0,VLOOKUP(K170,'Efficiency Lookup'!$D$2:$G$35,3,FALSE))</f>
        <v>0.05</v>
      </c>
      <c r="AH170" s="1005">
        <f>S170*AG170</f>
        <v>5.274220902388385</v>
      </c>
      <c r="AI170" s="637">
        <f>IF(U170="RR",IF((0.0308*(W170^5)-0.2562*(W170^4)+0.8634*(W170^3)-1.5285*(W170^2)+1.501*W170-0.013)&gt;0.7,0.7,IF((0.0308*(W170^5)-0.2562*(W170^4)+0.8634*(W170^3)-1.5285*(W170^2)+1.501*W170-0.013)&lt;0,0,(0.0308*(W170^5)-0.2562*(W170^4)+0.8634*(W170^3)-1.5285*(W170^2)+1.501*W170-0.013))),IF((0.0152*(W170^5)-0.131*(W170^4)+0.4581*(W170^3)-0.8418*(W170^2)+0.8536*W170-0.0046)&gt;0.65,0.65,IF((0.0152*(W170^5)-0.131*(W170^4)+0.4581*(W170^3)-0.8418*(W170^2)+0.8536*W170-0.0046)&lt;0,0,(0.0152*(W170^5)-0.131*(W170^4)+0.4581*(W170^3)-0.8418*(W170^2)+0.8536*W170-0.0046))))</f>
        <v>0</v>
      </c>
      <c r="AJ170" s="139">
        <f>S170*AI170</f>
        <v>0</v>
      </c>
      <c r="AK170" s="416">
        <f t="shared" si="47"/>
        <v>5.274220902388385</v>
      </c>
      <c r="AL170" s="641">
        <f>IF(ISNA(VLOOKUP(K170,'Efficiency Lookup'!$D$2:$G$35,4,FALSE)),0,VLOOKUP(K170,'Efficiency Lookup'!$D$2:$G$35,4,FALSE))</f>
        <v>0.1</v>
      </c>
      <c r="AM170" s="1005">
        <f>T170*AL170</f>
        <v>664.59546458128625</v>
      </c>
      <c r="AN170" s="637">
        <f>IF(U170="RR",IF((0.0326*(W170^5)-0.2806*(W170^4)+0.9816*(W170^3)-1.8039*(W170^2)+1.8292*W170-0.0098)&gt;0.85,0.85,IF((0.0326*(W170^5)-0.2806*(W170^4)+0.9816*(W170^3)-1.8039*(W170^2)+1.8292*W170-0.0098)&lt;0,0,(0.0326*(W170^5)-0.2806*(W170^4)+0.9816*(W170^3)-1.8039*(W170^2)+1.8292*W170-0.0098))),IF((0.0304*(W170^5)-0.2619*(W170^4)+0.9161*(W170^3)-1.6837*(W170^2)+1.7072*W170-0.0091)&gt;0.8,0.8,IF((0.0304*(W170^5)-0.2619*(W170^4)+0.9161*(W170^3)-1.6837*(W170^2)+1.7072*W170-0.0091)&lt;0,0,(0.0304*(W170^5)-0.2619*(W170^4)+0.9161*(W170^3)-1.6837*(W170^2)+1.7072*W170-0.0091))))</f>
        <v>0</v>
      </c>
      <c r="AO170" s="139">
        <f>T170*AN170</f>
        <v>0</v>
      </c>
      <c r="AP170" s="647">
        <f>IF(AK170=AH170,AM170,AO170)</f>
        <v>664.59546458128625</v>
      </c>
      <c r="AQ170" s="789">
        <f>IF(AF170&lt;0,0,AF170)</f>
        <v>1.7732385569036682</v>
      </c>
      <c r="AR170" s="789">
        <f>IF(AK170&lt;0,0,AK170)</f>
        <v>5.274220902388385</v>
      </c>
      <c r="AS170" s="790">
        <f>IF(AP170&lt;0,0,AP170)</f>
        <v>664.59546458128625</v>
      </c>
    </row>
    <row r="171" spans="1:45" ht="30" x14ac:dyDescent="0.25">
      <c r="A171" s="261"/>
      <c r="B171" s="510">
        <v>38.102925999999997</v>
      </c>
      <c r="C171" s="510">
        <v>-78.440392000000003</v>
      </c>
      <c r="D171" s="510" t="s">
        <v>296</v>
      </c>
      <c r="E171" s="511">
        <v>344.03</v>
      </c>
      <c r="F171" s="669">
        <v>40679</v>
      </c>
      <c r="G171" s="510" t="s">
        <v>293</v>
      </c>
      <c r="H171" s="670"/>
      <c r="I171" s="511"/>
      <c r="J171" s="511" t="s">
        <v>358</v>
      </c>
      <c r="K171" s="511" t="s">
        <v>615</v>
      </c>
      <c r="L171" s="261"/>
      <c r="M171" s="671">
        <f>N171+O171+P171</f>
        <v>3.0897150688950301</v>
      </c>
      <c r="N171" s="672">
        <v>0.55765251246400005</v>
      </c>
      <c r="O171" s="514">
        <v>0.94242591899103001</v>
      </c>
      <c r="P171" s="514">
        <v>1.5896366374399999</v>
      </c>
      <c r="Q171" s="673">
        <f>+N171/M171</f>
        <v>0.18048671156704182</v>
      </c>
      <c r="R171" s="674">
        <f>IF(L170="TT",(1.76*N171+0.5*O171+0.13*P171)-AF170,1.76*N171+0.5*O171+0.13*P171)</f>
        <v>1.659334144299355</v>
      </c>
      <c r="S171" s="674">
        <f>IF(L170="TT",(M171*9.39+N171*6.99+O171*2.36)-AK170,M171*9.39+N171*6.99+O171*2.36)</f>
        <v>35.134540727866529</v>
      </c>
      <c r="T171" s="674">
        <f>IF(L170="TT",(M171*676.94+N171*101.08+O171*77.38)-AP170,M171*676.94+N171*101.08+O171*77.38)</f>
        <v>2220.8441523091888</v>
      </c>
      <c r="U171" s="1022" t="s">
        <v>278</v>
      </c>
      <c r="V171" s="514" t="s">
        <v>295</v>
      </c>
      <c r="W171" s="675">
        <f>IF(V171="NA", 0, (V171)*12/N171/43560)</f>
        <v>0</v>
      </c>
      <c r="X171" s="634" t="str">
        <f t="shared" si="48"/>
        <v>NA</v>
      </c>
      <c r="Y171" s="676">
        <f>IF(X171="NA",0,R171*X171)</f>
        <v>0</v>
      </c>
      <c r="Z171" s="1061">
        <f>IF(ISNA(VLOOKUP(J171,'Efficiency Lookup'!$B$2:$C$38,2,FALSE)),0,(VLOOKUP(J171,'Efficiency Lookup'!$B$2:$C$38,2,FALSE)))</f>
        <v>0.35</v>
      </c>
      <c r="AA171" s="1005">
        <f>R171*Z171</f>
        <v>0.58076695050477423</v>
      </c>
      <c r="AB171" s="635">
        <f>IF(ISNA(VLOOKUP(K171,'Efficiency Lookup'!$D$2:$E$35,2,FALSE)),0,VLOOKUP(K171,'Efficiency Lookup'!$D$2:$E$35,2,FALSE))</f>
        <v>0.1</v>
      </c>
      <c r="AC171" s="139">
        <f>R171*AB171</f>
        <v>0.16593341442993551</v>
      </c>
      <c r="AD171" s="637">
        <f>IF(U171="RR",IF((0.0304*(W171^5)-0.2619*(W171^4)+0.9161*(W171^3)-1.6837*(W171^2)+1.7072*W171-0.0091)&gt;0.85,0.85,IF((0.0304*(W171^5)-0.2619*(W171^4)+0.9161*(W171^3)-1.6837*(W171^2)+1.7072*W171-0.0091)&lt;0,0,(0.0304*(W171^5)-0.2619*(W171^4)+0.9161*(W171^3)-1.6837*(W171^2)+1.7072*W171-0.0091))),IF((0.0239*(W171^5)-0.2058*(W171^4)+0.7198*(W171^3)-1.3229*(W171^2)+1.3414*W171-0.0072)&gt;0.65,0.65,IF((0.0239*(W171^5)-0.2058*(W171^4)+0.7198*(W171^3)-1.3229*(W171^2)+1.3414*W171-0.0072)&lt;0,0,(0.0239*(W171^5)-0.2058*(W171^4)+0.7198*(W171^3)-1.3229*(W171^2)+1.3414*W171-0.0072))))</f>
        <v>0</v>
      </c>
      <c r="AE171" s="139">
        <f>R171*AD171</f>
        <v>0</v>
      </c>
      <c r="AF171" s="516">
        <f>MAX(Y171,AA171,AC171,AE171)</f>
        <v>0.58076695050477423</v>
      </c>
      <c r="AG171" s="641">
        <f>IF(ISNA(VLOOKUP(K171,'Efficiency Lookup'!$D$2:$G$35,3,FALSE)),0,VLOOKUP(K171,'Efficiency Lookup'!$D$2:$G$35,3,FALSE))</f>
        <v>0.05</v>
      </c>
      <c r="AH171" s="1005">
        <f>S171*AG171</f>
        <v>1.7567270363933265</v>
      </c>
      <c r="AI171" s="637">
        <f>IF(U171="RR",IF((0.0308*(W171^5)-0.2562*(W171^4)+0.8634*(W171^3)-1.5285*(W171^2)+1.501*W171-0.013)&gt;0.7,0.7,IF((0.0308*(W171^5)-0.2562*(W171^4)+0.8634*(W171^3)-1.5285*(W171^2)+1.501*W171-0.013)&lt;0,0,(0.0308*(W171^5)-0.2562*(W171^4)+0.8634*(W171^3)-1.5285*(W171^2)+1.501*W171-0.013))),IF((0.0152*(W171^5)-0.131*(W171^4)+0.4581*(W171^3)-0.8418*(W171^2)+0.8536*W171-0.0046)&gt;0.65,0.65,IF((0.0152*(W171^5)-0.131*(W171^4)+0.4581*(W171^3)-0.8418*(W171^2)+0.8536*W171-0.0046)&lt;0,0,(0.0152*(W171^5)-0.131*(W171^4)+0.4581*(W171^3)-0.8418*(W171^2)+0.8536*W171-0.0046))))</f>
        <v>0</v>
      </c>
      <c r="AJ171" s="139">
        <f>S171*AI171</f>
        <v>0</v>
      </c>
      <c r="AK171" s="416">
        <f t="shared" si="47"/>
        <v>1.7567270363933265</v>
      </c>
      <c r="AL171" s="641">
        <f>IF(ISNA(VLOOKUP(K171,'Efficiency Lookup'!$D$2:$G$35,4,FALSE)),0,VLOOKUP(K171,'Efficiency Lookup'!$D$2:$G$35,4,FALSE))</f>
        <v>0.1</v>
      </c>
      <c r="AM171" s="1005">
        <f>T171*AL171</f>
        <v>222.08441523091889</v>
      </c>
      <c r="AN171" s="637">
        <f>IF(U171="RR",IF((0.0326*(W171^5)-0.2806*(W171^4)+0.9816*(W171^3)-1.8039*(W171^2)+1.8292*W171-0.0098)&gt;0.85,0.85,IF((0.0326*(W171^5)-0.2806*(W171^4)+0.9816*(W171^3)-1.8039*(W171^2)+1.8292*W171-0.0098)&lt;0,0,(0.0326*(W171^5)-0.2806*(W171^4)+0.9816*(W171^3)-1.8039*(W171^2)+1.8292*W171-0.0098))),IF((0.0304*(W171^5)-0.2619*(W171^4)+0.9161*(W171^3)-1.6837*(W171^2)+1.7072*W171-0.0091)&gt;0.8,0.8,IF((0.0304*(W171^5)-0.2619*(W171^4)+0.9161*(W171^3)-1.6837*(W171^2)+1.7072*W171-0.0091)&lt;0,0,(0.0304*(W171^5)-0.2619*(W171^4)+0.9161*(W171^3)-1.6837*(W171^2)+1.7072*W171-0.0091))))</f>
        <v>0</v>
      </c>
      <c r="AO171" s="139">
        <f>T171*AN171</f>
        <v>0</v>
      </c>
      <c r="AP171" s="647">
        <f>IF(AK171=AH171,AM171,AO171)</f>
        <v>222.08441523091889</v>
      </c>
      <c r="AQ171" s="789">
        <f>IF(AF171&lt;0,0,AF171)</f>
        <v>0.58076695050477423</v>
      </c>
      <c r="AR171" s="789">
        <f>IF(AK171&lt;0,0,AK171)</f>
        <v>1.7567270363933265</v>
      </c>
      <c r="AS171" s="790">
        <f>IF(AP171&lt;0,0,AP171)</f>
        <v>222.08441523091889</v>
      </c>
    </row>
    <row r="172" spans="1:45" x14ac:dyDescent="0.25">
      <c r="A172" s="261"/>
      <c r="B172" s="510" t="s">
        <v>297</v>
      </c>
      <c r="C172" s="510" t="s">
        <v>297</v>
      </c>
      <c r="D172" s="510" t="s">
        <v>297</v>
      </c>
      <c r="E172" s="511"/>
      <c r="F172" s="705"/>
      <c r="G172" s="510"/>
      <c r="H172" s="511"/>
      <c r="I172" s="261" t="str">
        <f t="shared" ref="I172:I208" si="49">IF(G172="","",IF(G172="Proprietary","Filterra","Clearinghouse Not Used"))</f>
        <v/>
      </c>
      <c r="J172" s="511"/>
      <c r="K172" s="511"/>
      <c r="L172" s="510"/>
      <c r="M172" s="510"/>
      <c r="N172" s="672"/>
      <c r="O172" s="514"/>
      <c r="P172" s="514" t="s">
        <v>297</v>
      </c>
      <c r="Q172" s="688"/>
      <c r="R172" s="674"/>
      <c r="S172" s="674"/>
      <c r="T172" s="674"/>
      <c r="U172" s="1022"/>
      <c r="V172" s="514"/>
      <c r="W172" s="675"/>
      <c r="X172" s="636" t="str">
        <f t="shared" si="48"/>
        <v/>
      </c>
      <c r="Y172" s="706"/>
      <c r="Z172" s="640"/>
      <c r="AA172" s="1022"/>
      <c r="AB172" s="637"/>
      <c r="AC172" s="637"/>
      <c r="AD172" s="637"/>
      <c r="AE172" s="139"/>
      <c r="AF172" s="642"/>
      <c r="AG172" s="583"/>
      <c r="AH172" s="139"/>
      <c r="AI172" s="637"/>
      <c r="AJ172" s="139"/>
      <c r="AK172" s="416" t="str">
        <f t="shared" si="47"/>
        <v/>
      </c>
      <c r="AL172" s="642"/>
      <c r="AM172" s="637"/>
      <c r="AN172" s="637"/>
      <c r="AO172" s="139"/>
      <c r="AP172" s="647"/>
      <c r="AQ172" s="789"/>
      <c r="AR172" s="789"/>
      <c r="AS172" s="790"/>
    </row>
    <row r="173" spans="1:45" x14ac:dyDescent="0.25">
      <c r="A173" s="628"/>
      <c r="B173" s="668" t="s">
        <v>297</v>
      </c>
      <c r="C173" s="668" t="s">
        <v>297</v>
      </c>
      <c r="D173" s="668" t="s">
        <v>297</v>
      </c>
      <c r="E173" s="710"/>
      <c r="F173" s="711"/>
      <c r="G173" s="668"/>
      <c r="H173" s="712"/>
      <c r="I173" s="712" t="str">
        <f t="shared" si="49"/>
        <v/>
      </c>
      <c r="J173" s="712"/>
      <c r="K173" s="712"/>
      <c r="L173" s="712"/>
      <c r="M173" s="712"/>
      <c r="N173" s="712"/>
      <c r="O173" s="712"/>
      <c r="P173" s="712"/>
      <c r="Q173" s="712"/>
      <c r="R173" s="712"/>
      <c r="S173" s="712"/>
      <c r="T173" s="712"/>
      <c r="U173" s="712"/>
      <c r="V173" s="712"/>
      <c r="W173" s="712"/>
      <c r="X173" s="760" t="str">
        <f t="shared" si="48"/>
        <v/>
      </c>
      <c r="Y173" s="713"/>
      <c r="Z173" s="712"/>
      <c r="AA173" s="712"/>
      <c r="AB173" s="638"/>
      <c r="AC173" s="638"/>
      <c r="AD173" s="638"/>
      <c r="AE173" s="629"/>
      <c r="AF173" s="666"/>
      <c r="AG173" s="666"/>
      <c r="AH173" s="629"/>
      <c r="AI173" s="638"/>
      <c r="AJ173" s="629"/>
      <c r="AK173" s="639" t="str">
        <f t="shared" si="47"/>
        <v/>
      </c>
      <c r="AL173" s="644"/>
      <c r="AM173" s="638"/>
      <c r="AN173" s="638"/>
      <c r="AO173" s="629"/>
      <c r="AP173" s="648"/>
      <c r="AQ173" s="791"/>
      <c r="AR173" s="791"/>
      <c r="AS173" s="792"/>
    </row>
    <row r="174" spans="1:45" ht="14.45" customHeight="1" x14ac:dyDescent="0.25">
      <c r="A174" s="261"/>
      <c r="B174" s="510" t="s">
        <v>297</v>
      </c>
      <c r="C174" s="510" t="s">
        <v>297</v>
      </c>
      <c r="D174" s="510" t="s">
        <v>297</v>
      </c>
      <c r="E174" s="704"/>
      <c r="F174" s="705"/>
      <c r="G174" s="510"/>
      <c r="H174" s="511"/>
      <c r="I174" s="261" t="str">
        <f t="shared" si="49"/>
        <v/>
      </c>
      <c r="J174" s="511"/>
      <c r="K174" s="511"/>
      <c r="L174" s="510"/>
      <c r="M174" s="510"/>
      <c r="N174" s="672"/>
      <c r="O174" s="514"/>
      <c r="P174" s="514" t="s">
        <v>297</v>
      </c>
      <c r="Q174" s="688"/>
      <c r="R174" s="674"/>
      <c r="S174" s="674"/>
      <c r="T174" s="674"/>
      <c r="U174" s="1022"/>
      <c r="V174" s="514"/>
      <c r="W174" s="675"/>
      <c r="X174" s="636" t="str">
        <f t="shared" si="48"/>
        <v/>
      </c>
      <c r="Y174" s="706"/>
      <c r="Z174" s="640"/>
      <c r="AA174" s="1022"/>
      <c r="AB174" s="637"/>
      <c r="AC174" s="637"/>
      <c r="AD174" s="637"/>
      <c r="AE174" s="139"/>
      <c r="AF174" s="642"/>
      <c r="AG174" s="583"/>
      <c r="AH174" s="139"/>
      <c r="AI174" s="637"/>
      <c r="AJ174" s="139"/>
      <c r="AK174" s="416" t="str">
        <f t="shared" si="47"/>
        <v/>
      </c>
      <c r="AL174" s="642"/>
      <c r="AM174" s="637"/>
      <c r="AN174" s="637"/>
      <c r="AO174" s="139"/>
      <c r="AP174" s="647"/>
      <c r="AQ174" s="789"/>
      <c r="AR174" s="789"/>
      <c r="AS174" s="790"/>
    </row>
    <row r="175" spans="1:45" ht="30" x14ac:dyDescent="0.25">
      <c r="A175" s="261" t="s">
        <v>693</v>
      </c>
      <c r="B175" s="510">
        <v>38.085735</v>
      </c>
      <c r="C175" s="510">
        <v>-78.473602999999997</v>
      </c>
      <c r="D175" s="510" t="s">
        <v>296</v>
      </c>
      <c r="E175" s="511">
        <v>402.01</v>
      </c>
      <c r="F175" s="669">
        <v>41975</v>
      </c>
      <c r="G175" s="510" t="s">
        <v>289</v>
      </c>
      <c r="H175" s="511" t="s">
        <v>694</v>
      </c>
      <c r="I175" s="511" t="str">
        <f t="shared" si="49"/>
        <v>Filterra</v>
      </c>
      <c r="J175" s="511" t="s">
        <v>411</v>
      </c>
      <c r="K175" s="511" t="s">
        <v>662</v>
      </c>
      <c r="L175" s="671"/>
      <c r="M175" s="671">
        <f>N175+O175+P175</f>
        <v>0.57570748275670003</v>
      </c>
      <c r="N175" s="672">
        <v>0.47874657564700002</v>
      </c>
      <c r="O175" s="514">
        <v>9.6960907109699998E-2</v>
      </c>
      <c r="P175" s="514">
        <v>0</v>
      </c>
      <c r="Q175" s="673">
        <f>+N175/M175</f>
        <v>0.83157956077726247</v>
      </c>
      <c r="R175" s="674">
        <f>IF(L174="TT",(1.76*N175+0.5*O175+0.13*P175)-AF174,1.76*N175+0.5*O175+0.13*P175)</f>
        <v>0.89107442669357007</v>
      </c>
      <c r="S175" s="674">
        <f>IF(L174="TT",(M175*9.39+N175*6.99+O175*2.36)-AK174,M175*9.39+N175*6.99+O175*2.36)</f>
        <v>8.9811595676368352</v>
      </c>
      <c r="T175" s="674">
        <f>IF(L174="TT",(M175*676.94+N175*101.08+O175*77.38)-AP174,M175*676.94+N175*101.08+O175*77.38)</f>
        <v>445.61396223586786</v>
      </c>
      <c r="U175" s="1022" t="s">
        <v>278</v>
      </c>
      <c r="V175" s="514">
        <v>106.2</v>
      </c>
      <c r="W175" s="675">
        <f>IF(V175="NA", 0, (V175)*12/N175/43560)</f>
        <v>6.1109989784405822E-2</v>
      </c>
      <c r="X175" s="636">
        <f t="shared" si="48"/>
        <v>0.5</v>
      </c>
      <c r="Y175" s="706">
        <f>IF(X175="NA",0,R175*X175)</f>
        <v>0.44553721334678503</v>
      </c>
      <c r="Z175" s="635">
        <f>IF(ISNA(VLOOKUP(J175,'Efficiency Lookup'!$B$2:$C$38,2,FALSE)),0,(VLOOKUP(J175,'Efficiency Lookup'!$B$2:$C$38,2,FALSE)))</f>
        <v>0</v>
      </c>
      <c r="AA175" s="139">
        <f>R175*Z175</f>
        <v>0</v>
      </c>
      <c r="AB175" s="635">
        <f>IF(ISNA(VLOOKUP(K175,'Efficiency Lookup'!$D$2:$E$35,2,FALSE)),0,VLOOKUP(K175,'Efficiency Lookup'!$D$2:$E$35,2,FALSE))</f>
        <v>0</v>
      </c>
      <c r="AC175" s="139">
        <f>R175*AB175</f>
        <v>0</v>
      </c>
      <c r="AD175" s="637">
        <f>IF(U175="RR",IF((0.0304*(W175^5)-0.2619*(W175^4)+0.9161*(W175^3)-1.6837*(W175^2)+1.7072*W175-0.0091)&gt;0.85,0.85,IF((0.0304*(W175^5)-0.2619*(W175^4)+0.9161*(W175^3)-1.6837*(W175^2)+1.7072*W175-0.0091)&lt;0,0,(0.0304*(W175^5)-0.2619*(W175^4)+0.9161*(W175^3)-1.6837*(W175^2)+1.7072*W175-0.0091))),IF((0.0239*(W175^5)-0.2058*(W175^4)+0.7198*(W175^3)-1.3229*(W175^2)+1.3414*W175-0.0072)&gt;0.65,0.65,IF((0.0239*(W175^5)-0.2058*(W175^4)+0.7198*(W175^3)-1.3229*(W175^2)+1.3414*W175-0.0072)&lt;0,0,(0.0239*(W175^5)-0.2058*(W175^4)+0.7198*(W175^3)-1.3229*(W175^2)+1.3414*W175-0.0072))))</f>
        <v>6.9994078310754757E-2</v>
      </c>
      <c r="AE175" s="139">
        <f>R175*AD175</f>
        <v>6.2369933202700643E-2</v>
      </c>
      <c r="AF175" s="516">
        <f>MAX(Y175,AA175,AC175,AE175)</f>
        <v>0.44553721334678503</v>
      </c>
      <c r="AG175" s="634">
        <f>IF(ISNA(VLOOKUP(K175,'Efficiency Lookup'!$D$2:$G$35,3,FALSE)),0,VLOOKUP(K175,'Efficiency Lookup'!$D$2:$G$35,3,FALSE))</f>
        <v>0</v>
      </c>
      <c r="AH175" s="139">
        <f>S175*AG175</f>
        <v>0</v>
      </c>
      <c r="AI175" s="521">
        <f>IF(U175="RR",IF((0.0308*(W175^5)-0.2562*(W175^4)+0.8634*(W175^3)-1.5285*(W175^2)+1.501*W175-0.013)&gt;0.7,0.7,IF((0.0308*(W175^5)-0.2562*(W175^4)+0.8634*(W175^3)-1.5285*(W175^2)+1.501*W175-0.013)&lt;0,0,(0.0308*(W175^5)-0.2562*(W175^4)+0.8634*(W175^3)-1.5285*(W175^2)+1.501*W175-0.013))),IF((0.0152*(W175^5)-0.131*(W175^4)+0.4581*(W175^3)-0.8418*(W175^2)+0.8536*W175-0.0046)&gt;0.65,0.65,IF((0.0152*(W175^5)-0.131*(W175^4)+0.4581*(W175^3)-0.8418*(W175^2)+0.8536*W175-0.0046)&lt;0,0,(0.0152*(W175^5)-0.131*(W175^4)+0.4581*(W175^3)-0.8418*(W175^2)+0.8536*W175-0.0046))))</f>
        <v>4.4522572894059496E-2</v>
      </c>
      <c r="AJ175" s="1005">
        <f>S175*AI175</f>
        <v>0.39986433152329087</v>
      </c>
      <c r="AK175" s="416">
        <f t="shared" si="47"/>
        <v>0.39986433152329087</v>
      </c>
      <c r="AL175" s="634">
        <f>IF(ISNA(VLOOKUP(K175,'Efficiency Lookup'!$D$2:$G$35,4,FALSE)),0,VLOOKUP(K175,'Efficiency Lookup'!$D$2:$G$35,4,FALSE))</f>
        <v>0</v>
      </c>
      <c r="AM175" s="139">
        <f>T175*AL175</f>
        <v>0</v>
      </c>
      <c r="AN175" s="521">
        <f>IF(U175="RR",IF((0.0326*(W175^5)-0.2806*(W175^4)+0.9816*(W175^3)-1.8039*(W175^2)+1.8292*W175-0.0098)&gt;0.85,0.85,IF((0.0326*(W175^5)-0.2806*(W175^4)+0.9816*(W175^3)-1.8039*(W175^2)+1.8292*W175-0.0098)&lt;0,0,(0.0326*(W175^5)-0.2806*(W175^4)+0.9816*(W175^3)-1.8039*(W175^2)+1.8292*W175-0.0098))),IF((0.0304*(W175^5)-0.2619*(W175^4)+0.9161*(W175^3)-1.6837*(W175^2)+1.7072*W175-0.0091)&gt;0.8,0.8,IF((0.0304*(W175^5)-0.2619*(W175^4)+0.9161*(W175^3)-1.6837*(W175^2)+1.7072*W175-0.0091)&lt;0,0,(0.0304*(W175^5)-0.2619*(W175^4)+0.9161*(W175^3)-1.6837*(W175^2)+1.7072*W175-0.0091))))</f>
        <v>8.914475091852811E-2</v>
      </c>
      <c r="AO175" s="1005">
        <f>T175*AN175</f>
        <v>39.724145669334831</v>
      </c>
      <c r="AP175" s="647">
        <f>IF(AK175=AH175,AM175,AO175)</f>
        <v>39.724145669334831</v>
      </c>
      <c r="AQ175" s="789">
        <f>IF(AF175&lt;0,0,AF175)</f>
        <v>0.44553721334678503</v>
      </c>
      <c r="AR175" s="789">
        <f>IF(AK175&lt;0,0,AK175)</f>
        <v>0.39986433152329087</v>
      </c>
      <c r="AS175" s="790">
        <f>IF(AP175&lt;0,0,AP175)</f>
        <v>39.724145669334831</v>
      </c>
    </row>
    <row r="176" spans="1:45" x14ac:dyDescent="0.25">
      <c r="A176" s="261"/>
      <c r="B176" s="510" t="s">
        <v>297</v>
      </c>
      <c r="C176" s="510" t="s">
        <v>297</v>
      </c>
      <c r="D176" s="510" t="s">
        <v>297</v>
      </c>
      <c r="E176" s="511"/>
      <c r="F176" s="705"/>
      <c r="G176" s="510"/>
      <c r="H176" s="511"/>
      <c r="I176" s="261" t="str">
        <f t="shared" si="49"/>
        <v/>
      </c>
      <c r="J176" s="511"/>
      <c r="K176" s="511"/>
      <c r="L176" s="510"/>
      <c r="M176" s="510"/>
      <c r="N176" s="672"/>
      <c r="O176" s="514"/>
      <c r="P176" s="514" t="s">
        <v>297</v>
      </c>
      <c r="Q176" s="688"/>
      <c r="R176" s="674"/>
      <c r="S176" s="674"/>
      <c r="T176" s="674"/>
      <c r="U176" s="1022"/>
      <c r="V176" s="514"/>
      <c r="W176" s="675"/>
      <c r="X176" s="636" t="str">
        <f t="shared" si="48"/>
        <v/>
      </c>
      <c r="Y176" s="706"/>
      <c r="Z176" s="640"/>
      <c r="AA176" s="1022"/>
      <c r="AB176" s="637"/>
      <c r="AC176" s="637"/>
      <c r="AD176" s="637"/>
      <c r="AE176" s="139"/>
      <c r="AF176" s="642"/>
      <c r="AG176" s="583"/>
      <c r="AH176" s="139"/>
      <c r="AI176" s="637"/>
      <c r="AJ176" s="139"/>
      <c r="AK176" s="416" t="str">
        <f t="shared" ref="AK176:AK197" si="50">IF(AJ176="","",IF(OR(AF176=Y176,AF176=AA176),MAX(AH176,AJ176),IF(AF176=AC176,AH176,IF(AF176=AE176,AJ176))))</f>
        <v/>
      </c>
      <c r="AL176" s="642"/>
      <c r="AM176" s="637"/>
      <c r="AN176" s="637"/>
      <c r="AO176" s="139"/>
      <c r="AP176" s="647"/>
      <c r="AQ176" s="789"/>
      <c r="AR176" s="789"/>
      <c r="AS176" s="790"/>
    </row>
    <row r="177" spans="1:45" x14ac:dyDescent="0.25">
      <c r="A177" s="628"/>
      <c r="B177" s="668" t="s">
        <v>297</v>
      </c>
      <c r="C177" s="668" t="s">
        <v>297</v>
      </c>
      <c r="D177" s="668" t="s">
        <v>297</v>
      </c>
      <c r="E177" s="710"/>
      <c r="F177" s="711"/>
      <c r="G177" s="668"/>
      <c r="H177" s="712"/>
      <c r="I177" s="712" t="str">
        <f t="shared" si="49"/>
        <v/>
      </c>
      <c r="J177" s="712"/>
      <c r="K177" s="712"/>
      <c r="L177" s="712"/>
      <c r="M177" s="712"/>
      <c r="N177" s="712"/>
      <c r="O177" s="712"/>
      <c r="P177" s="712"/>
      <c r="Q177" s="712"/>
      <c r="R177" s="712"/>
      <c r="S177" s="712"/>
      <c r="T177" s="712"/>
      <c r="U177" s="712"/>
      <c r="V177" s="712"/>
      <c r="W177" s="712"/>
      <c r="X177" s="760" t="str">
        <f t="shared" si="48"/>
        <v/>
      </c>
      <c r="Y177" s="713"/>
      <c r="Z177" s="712"/>
      <c r="AA177" s="712"/>
      <c r="AB177" s="638"/>
      <c r="AC177" s="638"/>
      <c r="AD177" s="638"/>
      <c r="AE177" s="629"/>
      <c r="AF177" s="666"/>
      <c r="AG177" s="666"/>
      <c r="AH177" s="629"/>
      <c r="AI177" s="638"/>
      <c r="AJ177" s="629"/>
      <c r="AK177" s="639" t="str">
        <f t="shared" si="50"/>
        <v/>
      </c>
      <c r="AL177" s="644"/>
      <c r="AM177" s="638"/>
      <c r="AN177" s="638"/>
      <c r="AO177" s="629"/>
      <c r="AP177" s="648"/>
      <c r="AQ177" s="791"/>
      <c r="AR177" s="791"/>
      <c r="AS177" s="792"/>
    </row>
    <row r="178" spans="1:45" ht="14.45" customHeight="1" x14ac:dyDescent="0.25">
      <c r="A178" s="261"/>
      <c r="B178" s="510" t="s">
        <v>297</v>
      </c>
      <c r="C178" s="510" t="s">
        <v>297</v>
      </c>
      <c r="D178" s="510" t="s">
        <v>297</v>
      </c>
      <c r="E178" s="704"/>
      <c r="F178" s="705"/>
      <c r="G178" s="510"/>
      <c r="H178" s="511"/>
      <c r="I178" s="261"/>
      <c r="J178" s="511"/>
      <c r="K178" s="511"/>
      <c r="L178" s="510"/>
      <c r="M178" s="510"/>
      <c r="N178" s="672"/>
      <c r="O178" s="514"/>
      <c r="P178" s="514" t="s">
        <v>297</v>
      </c>
      <c r="Q178" s="688"/>
      <c r="R178" s="674"/>
      <c r="S178" s="674"/>
      <c r="T178" s="674"/>
      <c r="U178" s="1022"/>
      <c r="V178" s="514"/>
      <c r="W178" s="675"/>
      <c r="X178" s="636" t="str">
        <f t="shared" si="48"/>
        <v/>
      </c>
      <c r="Y178" s="706"/>
      <c r="Z178" s="640"/>
      <c r="AA178" s="1022"/>
      <c r="AB178" s="637"/>
      <c r="AC178" s="637"/>
      <c r="AD178" s="637"/>
      <c r="AE178" s="139"/>
      <c r="AF178" s="642"/>
      <c r="AG178" s="583"/>
      <c r="AH178" s="139"/>
      <c r="AI178" s="637"/>
      <c r="AJ178" s="139"/>
      <c r="AK178" s="416" t="str">
        <f t="shared" si="50"/>
        <v/>
      </c>
      <c r="AL178" s="642"/>
      <c r="AM178" s="637"/>
      <c r="AN178" s="637"/>
      <c r="AO178" s="139"/>
      <c r="AP178" s="647"/>
      <c r="AQ178" s="789"/>
      <c r="AR178" s="789"/>
      <c r="AS178" s="790"/>
    </row>
    <row r="179" spans="1:45" ht="30" x14ac:dyDescent="0.25">
      <c r="A179" s="261" t="s">
        <v>695</v>
      </c>
      <c r="B179" s="510">
        <v>38.000554999999999</v>
      </c>
      <c r="C179" s="510">
        <v>-78.513908999999998</v>
      </c>
      <c r="D179" s="510" t="s">
        <v>296</v>
      </c>
      <c r="E179" s="511">
        <v>285.01</v>
      </c>
      <c r="F179" s="669">
        <v>39252</v>
      </c>
      <c r="G179" s="510" t="s">
        <v>281</v>
      </c>
      <c r="H179" s="511"/>
      <c r="I179" s="511"/>
      <c r="J179" s="511" t="s">
        <v>343</v>
      </c>
      <c r="K179" s="511" t="s">
        <v>284</v>
      </c>
      <c r="L179" s="261"/>
      <c r="M179" s="514">
        <f>N179+O179+P179</f>
        <v>1.5472391331050002</v>
      </c>
      <c r="N179" s="672">
        <v>0.28004010027100001</v>
      </c>
      <c r="O179" s="514">
        <v>0.65179337205900001</v>
      </c>
      <c r="P179" s="514">
        <v>0.61540566077500003</v>
      </c>
      <c r="Q179" s="673">
        <f>+N179/M179</f>
        <v>0.18099341871544797</v>
      </c>
      <c r="R179" s="674">
        <f>IF(L178="TT",(1.76*N179+0.5*O179+0.13*P179)-AF178,1.76*N179+0.5*O179+0.13*P179)</f>
        <v>0.89876999840721006</v>
      </c>
      <c r="S179" s="674">
        <f>IF(L178="TT",(M179*9.39+N179*6.99+O179*2.36)-AK178,M179*9.39+N179*6.99+O179*2.36)</f>
        <v>18.024288118809483</v>
      </c>
      <c r="T179" s="674">
        <f>IF(L178="TT",(M179*676.94+N179*101.08+O179*77.38)-AP178,M179*676.94+N179*101.08+O179*77.38)</f>
        <v>1126.1302832294168</v>
      </c>
      <c r="U179" s="1022" t="s">
        <v>285</v>
      </c>
      <c r="V179" s="514">
        <v>266.67431999999997</v>
      </c>
      <c r="W179" s="675">
        <f>IF(V179="NA", 0, (V179)*12/N179/43560)</f>
        <v>0.26233385836138295</v>
      </c>
      <c r="X179" s="634" t="str">
        <f t="shared" si="48"/>
        <v>NA</v>
      </c>
      <c r="Y179" s="676">
        <f>IF(X179="NA",0,R179*X179)</f>
        <v>0</v>
      </c>
      <c r="Z179" s="1061">
        <f>IF(ISNA(VLOOKUP(J179,'Efficiency Lookup'!$B$2:$C$38,2,FALSE)),0,(VLOOKUP(J179,'Efficiency Lookup'!$B$2:$C$38,2,FALSE)))</f>
        <v>0.5</v>
      </c>
      <c r="AA179" s="1005">
        <f>R179*Z179</f>
        <v>0.44938499920360503</v>
      </c>
      <c r="AB179" s="635">
        <f>IF(ISNA(VLOOKUP(K179,'Efficiency Lookup'!$D$2:$E$35,2,FALSE)),0,VLOOKUP(K179,'Efficiency Lookup'!$D$2:$E$35,2,FALSE))</f>
        <v>0.45</v>
      </c>
      <c r="AC179" s="139">
        <f>R179*AB179</f>
        <v>0.40444649928324455</v>
      </c>
      <c r="AD179" s="637">
        <f>IF(U179="RR",IF((0.0304*(W179^5)-0.2619*(W179^4)+0.9161*(W179^3)-1.6837*(W179^2)+1.7072*W179-0.0091)&gt;0.85,0.85,IF((0.0304*(W179^5)-0.2619*(W179^4)+0.9161*(W179^3)-1.6837*(W179^2)+1.7072*W179-0.0091)&lt;0,0,(0.0304*(W179^5)-0.2619*(W179^4)+0.9161*(W179^3)-1.6837*(W179^2)+1.7072*W179-0.0091))),IF((0.0239*(W179^5)-0.2058*(W179^4)+0.7198*(W179^3)-1.3229*(W179^2)+1.3414*W179-0.0072)&gt;0.65,0.65,IF((0.0239*(W179^5)-0.2058*(W179^4)+0.7198*(W179^3)-1.3229*(W179^2)+1.3414*W179-0.0072)&lt;0,0,(0.0239*(W179^5)-0.2058*(W179^4)+0.7198*(W179^3)-1.3229*(W179^2)+1.3414*W179-0.0072))))</f>
        <v>0.33822199167393685</v>
      </c>
      <c r="AE179" s="139">
        <f>R179*AD179</f>
        <v>0.30398377891806766</v>
      </c>
      <c r="AF179" s="516">
        <f>MAX(Y179,AA179,AC179,AE179)</f>
        <v>0.44938499920360503</v>
      </c>
      <c r="AG179" s="634">
        <f>IF(ISNA(VLOOKUP(K179,'Efficiency Lookup'!$D$2:$G$35,3,FALSE)),0,VLOOKUP(K179,'Efficiency Lookup'!$D$2:$G$35,3,FALSE))</f>
        <v>0.25</v>
      </c>
      <c r="AH179" s="139">
        <f>S179*AG179</f>
        <v>4.5060720297023709</v>
      </c>
      <c r="AI179" s="521">
        <f>IF(U179="RR",IF((0.0308*(W179^5)-0.2562*(W179^4)+0.8634*(W179^3)-1.5285*(W179^2)+1.501*W179-0.013)&gt;0.7,0.7,IF((0.0308*(W179^5)-0.2562*(W179^4)+0.8634*(W179^3)-1.5285*(W179^2)+1.501*W179-0.013)&lt;0,0,(0.0308*(W179^5)-0.2562*(W179^4)+0.8634*(W179^3)-1.5285*(W179^2)+1.501*W179-0.013))),IF((0.0152*(W179^5)-0.131*(W179^4)+0.4581*(W179^3)-0.8418*(W179^2)+0.8536*W179-0.0046)&gt;0.65,0.65,IF((0.0152*(W179^5)-0.131*(W179^4)+0.4581*(W179^3)-0.8418*(W179^2)+0.8536*W179-0.0046)&lt;0,0,(0.0152*(W179^5)-0.131*(W179^4)+0.4581*(W179^3)-0.8418*(W179^2)+0.8536*W179-0.0046))))</f>
        <v>0.28998553664751697</v>
      </c>
      <c r="AJ179" s="1005">
        <f>S179*AI179</f>
        <v>5.2267828628224322</v>
      </c>
      <c r="AK179" s="416">
        <f t="shared" si="50"/>
        <v>5.2267828628224322</v>
      </c>
      <c r="AL179" s="634">
        <f>IF(ISNA(VLOOKUP(K179,'Efficiency Lookup'!$D$2:$G$35,4,FALSE)),0,VLOOKUP(K179,'Efficiency Lookup'!$D$2:$G$35,4,FALSE))</f>
        <v>0.55000000000000004</v>
      </c>
      <c r="AM179" s="139">
        <f>T179*AL179</f>
        <v>619.3716557761793</v>
      </c>
      <c r="AN179" s="521">
        <f>IF(U179="RR",IF((0.0326*(W179^5)-0.2806*(W179^4)+0.9816*(W179^3)-1.8039*(W179^2)+1.8292*W179-0.0098)&gt;0.85,0.85,IF((0.0326*(W179^5)-0.2806*(W179^4)+0.9816*(W179^3)-1.8039*(W179^2)+1.8292*W179-0.0098)&lt;0,0,(0.0326*(W179^5)-0.2806*(W179^4)+0.9816*(W179^3)-1.8039*(W179^2)+1.8292*W179-0.0098))),IF((0.0304*(W179^5)-0.2619*(W179^4)+0.9161*(W179^3)-1.6837*(W179^2)+1.7072*W179-0.0091)&gt;0.8,0.8,IF((0.0304*(W179^5)-0.2619*(W179^4)+0.9161*(W179^3)-1.6837*(W179^2)+1.7072*W179-0.0091)&lt;0,0,(0.0304*(W179^5)-0.2619*(W179^4)+0.9161*(W179^3)-1.6837*(W179^2)+1.7072*W179-0.0091))))</f>
        <v>0.36235134986661682</v>
      </c>
      <c r="AO179" s="1005">
        <f>T179*AN179</f>
        <v>408.05482825385474</v>
      </c>
      <c r="AP179" s="647">
        <f>IF(AK179=AH179,AM179,AO179)</f>
        <v>408.05482825385474</v>
      </c>
      <c r="AQ179" s="789">
        <f>IF(AF179&lt;0,0,AF179)</f>
        <v>0.44938499920360503</v>
      </c>
      <c r="AR179" s="789">
        <f>IF(AK179&lt;0,0,AK179)</f>
        <v>5.2267828628224322</v>
      </c>
      <c r="AS179" s="790">
        <f>IF(AP179&lt;0,0,AP179)</f>
        <v>408.05482825385474</v>
      </c>
    </row>
    <row r="180" spans="1:45" x14ac:dyDescent="0.25">
      <c r="A180" s="261" t="s">
        <v>695</v>
      </c>
      <c r="B180" s="510">
        <v>38.001517</v>
      </c>
      <c r="C180" s="510">
        <v>-78.511785000000003</v>
      </c>
      <c r="D180" s="510" t="s">
        <v>296</v>
      </c>
      <c r="E180" s="511">
        <v>285.02</v>
      </c>
      <c r="F180" s="669">
        <v>39252</v>
      </c>
      <c r="G180" s="510" t="s">
        <v>331</v>
      </c>
      <c r="H180" s="511"/>
      <c r="I180" s="511"/>
      <c r="J180" s="511" t="s">
        <v>337</v>
      </c>
      <c r="K180" s="511" t="s">
        <v>334</v>
      </c>
      <c r="L180" s="261"/>
      <c r="M180" s="514">
        <f>N180+O180+P180</f>
        <v>1.49138560247924</v>
      </c>
      <c r="N180" s="672">
        <v>0.43789620504999999</v>
      </c>
      <c r="O180" s="514">
        <v>0.75276191343724008</v>
      </c>
      <c r="P180" s="514">
        <v>0.300727483992</v>
      </c>
      <c r="Q180" s="673">
        <f>+N180/M180</f>
        <v>0.29361702588656674</v>
      </c>
      <c r="R180" s="674">
        <f>IF(L179="TT",(1.76*N180+0.5*O180+0.13*P180)-AF179,1.76*N180+0.5*O180+0.13*P180)</f>
        <v>1.18617285052558</v>
      </c>
      <c r="S180" s="674">
        <f>IF(L179="TT",(M180*9.39+N180*6.99+O180*2.36)-AK179,M180*9.39+N180*6.99+O180*2.36)</f>
        <v>18.84152339629145</v>
      </c>
      <c r="T180" s="674">
        <f>IF(L179="TT",(M180*676.94+N180*101.08+O180*77.38)-AP179,M180*676.94+N180*101.08+O180*77.38)</f>
        <v>1112.0898350105244</v>
      </c>
      <c r="U180" s="1022" t="s">
        <v>285</v>
      </c>
      <c r="V180" s="514">
        <v>394.17444</v>
      </c>
      <c r="W180" s="675">
        <f>IF(V180="NA", 0, (V180)*12/N180/43560)</f>
        <v>0.24797657241080948</v>
      </c>
      <c r="X180" s="634" t="str">
        <f t="shared" si="48"/>
        <v>NA</v>
      </c>
      <c r="Y180" s="676">
        <f>IF(X180="NA",0,R180*X180)</f>
        <v>0</v>
      </c>
      <c r="Z180" s="635">
        <f>IF(ISNA(VLOOKUP(J180,'Efficiency Lookup'!$B$2:$C$38,2,FALSE)),0,(VLOOKUP(J180,'Efficiency Lookup'!$B$2:$C$38,2,FALSE)))</f>
        <v>0.15</v>
      </c>
      <c r="AA180" s="139">
        <f>R180*Z180</f>
        <v>0.17792592757883699</v>
      </c>
      <c r="AB180" s="1061">
        <f>IF(ISNA(VLOOKUP(K180,'Efficiency Lookup'!$D$2:$E$35,2,FALSE)),0,VLOOKUP(K180,'Efficiency Lookup'!$D$2:$E$35,2,FALSE))</f>
        <v>0.75</v>
      </c>
      <c r="AC180" s="1005">
        <f>R180*AB180</f>
        <v>0.88962963789418503</v>
      </c>
      <c r="AD180" s="637">
        <f>IF(U180="RR",IF((0.0304*(W180^5)-0.2619*(W180^4)+0.9161*(W180^3)-1.6837*(W180^2)+1.7072*W180-0.0091)&gt;0.85,0.85,IF((0.0304*(W180^5)-0.2619*(W180^4)+0.9161*(W180^3)-1.6837*(W180^2)+1.7072*W180-0.0091)&lt;0,0,(0.0304*(W180^5)-0.2619*(W180^4)+0.9161*(W180^3)-1.6837*(W180^2)+1.7072*W180-0.0091))),IF((0.0239*(W180^5)-0.2058*(W180^4)+0.7198*(W180^3)-1.3229*(W180^2)+1.3414*W180-0.0072)&gt;0.65,0.65,IF((0.0239*(W180^5)-0.2058*(W180^4)+0.7198*(W180^3)-1.3229*(W180^2)+1.3414*W180-0.0072)&lt;0,0,(0.0239*(W180^5)-0.2058*(W180^4)+0.7198*(W180^3)-1.3229*(W180^2)+1.3414*W180-0.0072))))</f>
        <v>0.32371836932158027</v>
      </c>
      <c r="AE180" s="139">
        <f>R180*AD180</f>
        <v>0.38398594090567134</v>
      </c>
      <c r="AF180" s="516">
        <f>MAX(Y180,AA180,AC180,AE180)</f>
        <v>0.88962963789418503</v>
      </c>
      <c r="AG180" s="636">
        <f>IF(ISNA(VLOOKUP(K180,'Efficiency Lookup'!$D$2:$G$35,3,FALSE)),0,VLOOKUP(K180,'Efficiency Lookup'!$D$2:$G$35,3,FALSE))</f>
        <v>0.7</v>
      </c>
      <c r="AH180" s="1022">
        <f>S180*AG180</f>
        <v>13.189066377404014</v>
      </c>
      <c r="AI180" s="637">
        <f>IF(U180="RR",IF((0.0308*(W180^5)-0.2562*(W180^4)+0.8634*(W180^3)-1.5285*(W180^2)+1.501*W180-0.013)&gt;0.7,0.7,IF((0.0308*(W180^5)-0.2562*(W180^4)+0.8634*(W180^3)-1.5285*(W180^2)+1.501*W180-0.013)&lt;0,0,(0.0308*(W180^5)-0.2562*(W180^4)+0.8634*(W180^3)-1.5285*(W180^2)+1.501*W180-0.013))),IF((0.0152*(W180^5)-0.131*(W180^4)+0.4581*(W180^3)-0.8418*(W180^2)+0.8536*W180-0.0046)&gt;0.65,0.65,IF((0.0152*(W180^5)-0.131*(W180^4)+0.4581*(W180^3)-0.8418*(W180^2)+0.8536*W180-0.0046)&lt;0,0,(0.0152*(W180^5)-0.131*(W180^4)+0.4581*(W180^3)-0.8418*(W180^2)+0.8536*W180-0.0046))))</f>
        <v>0.27744754119751469</v>
      </c>
      <c r="AJ180" s="139">
        <f>S180*AI180</f>
        <v>5.2275343387165085</v>
      </c>
      <c r="AK180" s="416">
        <f t="shared" si="50"/>
        <v>13.189066377404014</v>
      </c>
      <c r="AL180" s="641">
        <f>IF(ISNA(VLOOKUP(K180,'Efficiency Lookup'!$D$2:$G$35,4,FALSE)),0,VLOOKUP(K180,'Efficiency Lookup'!$D$2:$G$35,4,FALSE))</f>
        <v>0.8</v>
      </c>
      <c r="AM180" s="1022">
        <f>T180*AL180</f>
        <v>889.67186800841955</v>
      </c>
      <c r="AN180" s="637">
        <f>IF(U180="RR",IF((0.0326*(W180^5)-0.2806*(W180^4)+0.9816*(W180^3)-1.8039*(W180^2)+1.8292*W180-0.0098)&gt;0.85,0.85,IF((0.0326*(W180^5)-0.2806*(W180^4)+0.9816*(W180^3)-1.8039*(W180^2)+1.8292*W180-0.0098)&lt;0,0,(0.0326*(W180^5)-0.2806*(W180^4)+0.9816*(W180^3)-1.8039*(W180^2)+1.8292*W180-0.0098))),IF((0.0304*(W180^5)-0.2619*(W180^4)+0.9161*(W180^3)-1.6837*(W180^2)+1.7072*W180-0.0091)&gt;0.8,0.8,IF((0.0304*(W180^5)-0.2619*(W180^4)+0.9161*(W180^3)-1.6837*(W180^2)+1.7072*W180-0.0091)&lt;0,0,(0.0304*(W180^5)-0.2619*(W180^4)+0.9161*(W180^3)-1.6837*(W180^2)+1.7072*W180-0.0091))))</f>
        <v>0.34681026723063568</v>
      </c>
      <c r="AO180" s="139">
        <f>T180*AN180</f>
        <v>385.68417286447351</v>
      </c>
      <c r="AP180" s="647">
        <f>IF(AK180=AH180,AM180,AO180)</f>
        <v>889.67186800841955</v>
      </c>
      <c r="AQ180" s="789">
        <f>IF(AF180&lt;0,0,AF180)</f>
        <v>0.88962963789418503</v>
      </c>
      <c r="AR180" s="789">
        <f>IF(AK180&lt;0,0,AK180)</f>
        <v>13.189066377404014</v>
      </c>
      <c r="AS180" s="790">
        <f>IF(AP180&lt;0,0,AP180)</f>
        <v>889.67186800841955</v>
      </c>
    </row>
    <row r="181" spans="1:45" x14ac:dyDescent="0.25">
      <c r="A181" s="261"/>
      <c r="B181" s="510" t="s">
        <v>297</v>
      </c>
      <c r="C181" s="510" t="s">
        <v>297</v>
      </c>
      <c r="D181" s="510" t="s">
        <v>297</v>
      </c>
      <c r="E181" s="511"/>
      <c r="F181" s="705"/>
      <c r="G181" s="510"/>
      <c r="H181" s="511"/>
      <c r="I181" s="261"/>
      <c r="J181" s="511"/>
      <c r="K181" s="511"/>
      <c r="L181" s="510"/>
      <c r="M181" s="510"/>
      <c r="N181" s="672"/>
      <c r="O181" s="514"/>
      <c r="P181" s="514" t="s">
        <v>297</v>
      </c>
      <c r="Q181" s="688"/>
      <c r="R181" s="674"/>
      <c r="S181" s="674"/>
      <c r="T181" s="674"/>
      <c r="U181" s="1022"/>
      <c r="V181" s="514"/>
      <c r="W181" s="675"/>
      <c r="X181" s="636" t="str">
        <f t="shared" si="48"/>
        <v/>
      </c>
      <c r="Y181" s="706"/>
      <c r="Z181" s="640"/>
      <c r="AA181" s="1022"/>
      <c r="AB181" s="637"/>
      <c r="AC181" s="637"/>
      <c r="AD181" s="637"/>
      <c r="AE181" s="139"/>
      <c r="AF181" s="642"/>
      <c r="AG181" s="583"/>
      <c r="AH181" s="139"/>
      <c r="AI181" s="637"/>
      <c r="AJ181" s="139"/>
      <c r="AK181" s="416" t="str">
        <f t="shared" si="50"/>
        <v/>
      </c>
      <c r="AL181" s="642"/>
      <c r="AM181" s="637"/>
      <c r="AN181" s="637"/>
      <c r="AO181" s="139"/>
      <c r="AP181" s="647"/>
      <c r="AQ181" s="789"/>
      <c r="AR181" s="789"/>
      <c r="AS181" s="790"/>
    </row>
    <row r="182" spans="1:45" x14ac:dyDescent="0.25">
      <c r="A182" s="628"/>
      <c r="B182" s="668" t="s">
        <v>297</v>
      </c>
      <c r="C182" s="668" t="s">
        <v>297</v>
      </c>
      <c r="D182" s="668" t="s">
        <v>297</v>
      </c>
      <c r="E182" s="710"/>
      <c r="F182" s="711"/>
      <c r="G182" s="668"/>
      <c r="H182" s="712"/>
      <c r="I182" s="712"/>
      <c r="J182" s="712"/>
      <c r="K182" s="712"/>
      <c r="L182" s="712"/>
      <c r="M182" s="712"/>
      <c r="N182" s="712"/>
      <c r="O182" s="712"/>
      <c r="P182" s="712"/>
      <c r="Q182" s="712"/>
      <c r="R182" s="712"/>
      <c r="S182" s="712"/>
      <c r="T182" s="712"/>
      <c r="U182" s="712"/>
      <c r="V182" s="712"/>
      <c r="W182" s="712"/>
      <c r="X182" s="760" t="str">
        <f t="shared" si="48"/>
        <v/>
      </c>
      <c r="Y182" s="713"/>
      <c r="Z182" s="712"/>
      <c r="AA182" s="712"/>
      <c r="AB182" s="638"/>
      <c r="AC182" s="638"/>
      <c r="AD182" s="638"/>
      <c r="AE182" s="629"/>
      <c r="AF182" s="666"/>
      <c r="AG182" s="666"/>
      <c r="AH182" s="629"/>
      <c r="AI182" s="638"/>
      <c r="AJ182" s="629"/>
      <c r="AK182" s="639" t="str">
        <f t="shared" si="50"/>
        <v/>
      </c>
      <c r="AL182" s="644"/>
      <c r="AM182" s="638"/>
      <c r="AN182" s="638"/>
      <c r="AO182" s="629"/>
      <c r="AP182" s="648"/>
      <c r="AQ182" s="791"/>
      <c r="AR182" s="791"/>
      <c r="AS182" s="792"/>
    </row>
    <row r="183" spans="1:45" ht="14.45" customHeight="1" x14ac:dyDescent="0.25">
      <c r="A183" s="261"/>
      <c r="B183" s="510" t="s">
        <v>297</v>
      </c>
      <c r="C183" s="510" t="s">
        <v>297</v>
      </c>
      <c r="D183" s="510" t="s">
        <v>297</v>
      </c>
      <c r="E183" s="704"/>
      <c r="F183" s="705"/>
      <c r="G183" s="510"/>
      <c r="H183" s="511"/>
      <c r="I183" s="261" t="str">
        <f t="shared" si="49"/>
        <v/>
      </c>
      <c r="J183" s="511"/>
      <c r="K183" s="511"/>
      <c r="L183" s="510"/>
      <c r="M183" s="510"/>
      <c r="N183" s="672"/>
      <c r="O183" s="514"/>
      <c r="P183" s="514" t="s">
        <v>297</v>
      </c>
      <c r="Q183" s="688"/>
      <c r="R183" s="674"/>
      <c r="S183" s="674"/>
      <c r="T183" s="674"/>
      <c r="U183" s="1022"/>
      <c r="V183" s="514"/>
      <c r="W183" s="675"/>
      <c r="X183" s="636" t="str">
        <f t="shared" si="48"/>
        <v/>
      </c>
      <c r="Y183" s="706"/>
      <c r="Z183" s="640"/>
      <c r="AA183" s="1022"/>
      <c r="AB183" s="637"/>
      <c r="AC183" s="637"/>
      <c r="AD183" s="637"/>
      <c r="AE183" s="139"/>
      <c r="AF183" s="642"/>
      <c r="AG183" s="583"/>
      <c r="AH183" s="139"/>
      <c r="AI183" s="637"/>
      <c r="AJ183" s="139"/>
      <c r="AK183" s="416" t="str">
        <f t="shared" si="50"/>
        <v/>
      </c>
      <c r="AL183" s="642"/>
      <c r="AM183" s="637"/>
      <c r="AN183" s="637"/>
      <c r="AO183" s="139"/>
      <c r="AP183" s="647"/>
      <c r="AQ183" s="789"/>
      <c r="AR183" s="789"/>
      <c r="AS183" s="790"/>
    </row>
    <row r="184" spans="1:45" ht="30" x14ac:dyDescent="0.25">
      <c r="A184" s="261" t="s">
        <v>696</v>
      </c>
      <c r="B184" s="510">
        <v>38.028016999999998</v>
      </c>
      <c r="C184" s="510">
        <v>-78.450050000000005</v>
      </c>
      <c r="D184" s="510" t="s">
        <v>296</v>
      </c>
      <c r="E184" s="511">
        <v>264.02</v>
      </c>
      <c r="F184" s="669">
        <v>39007</v>
      </c>
      <c r="G184" s="510" t="s">
        <v>281</v>
      </c>
      <c r="H184" s="511"/>
      <c r="I184" s="511"/>
      <c r="J184" s="511" t="s">
        <v>343</v>
      </c>
      <c r="K184" s="511" t="s">
        <v>315</v>
      </c>
      <c r="L184" s="261"/>
      <c r="M184" s="514">
        <f t="shared" ref="M184:M189" si="51">N184+O184+P184</f>
        <v>0.73078271286003305</v>
      </c>
      <c r="N184" s="672">
        <v>0.35080302170703304</v>
      </c>
      <c r="O184" s="514">
        <v>0.37997969115300001</v>
      </c>
      <c r="P184" s="514">
        <v>0</v>
      </c>
      <c r="Q184" s="673">
        <f t="shared" ref="Q184:Q189" si="52">+N184/M184</f>
        <v>0.48003738393606804</v>
      </c>
      <c r="R184" s="689">
        <f>IF(L183="TT",(1.76*N184+0.5*O184+0.13*P184)-AF183,1.76*N184+0.5*O184+0.13*P184)</f>
        <v>0.80740316378087817</v>
      </c>
      <c r="S184" s="689">
        <f>IF(L183="TT",(M184*9.39+N184*6.99+O184*2.36)-AK183,M184*9.39+N184*6.99+O184*2.36)</f>
        <v>10.210914866608951</v>
      </c>
      <c r="T184" s="689">
        <f>IF(L183="TT",(M184*676.94+N184*101.08+O184*77.38)-AP183,M184*676.94+N184*101.08+O184*77.38)</f>
        <v>559.55804757903684</v>
      </c>
      <c r="U184" s="1022" t="s">
        <v>285</v>
      </c>
      <c r="V184" s="514">
        <v>719.99975519999998</v>
      </c>
      <c r="W184" s="675">
        <f t="shared" ref="W184:W189" si="53">IF(V184="NA", 0, (V184)*12/N184/43560)</f>
        <v>0.56540858466620059</v>
      </c>
      <c r="X184" s="634" t="str">
        <f t="shared" si="48"/>
        <v>NA</v>
      </c>
      <c r="Y184" s="676">
        <f t="shared" ref="Y184:Y189" si="54">IF(X184="NA",0,R184*X184)</f>
        <v>0</v>
      </c>
      <c r="Z184" s="635">
        <f>IF(ISNA(VLOOKUP(J184,'Efficiency Lookup'!$B$2:$C$38,2,FALSE)),0,(VLOOKUP(J184,'Efficiency Lookup'!$B$2:$C$38,2,FALSE)))</f>
        <v>0.5</v>
      </c>
      <c r="AA184" s="139">
        <f t="shared" ref="AA184:AA189" si="55">R184*Z184</f>
        <v>0.40370158189043909</v>
      </c>
      <c r="AB184" s="640">
        <f>IF(ISNA(VLOOKUP(K184,'Efficiency Lookup'!$D$2:$E$35,2,FALSE)),0,VLOOKUP(K184,'Efficiency Lookup'!$D$2:$E$35,2,FALSE))</f>
        <v>0.75</v>
      </c>
      <c r="AC184" s="1022">
        <f t="shared" ref="AC184:AC189" si="56">R184*AB184</f>
        <v>0.60555237283565866</v>
      </c>
      <c r="AD184" s="637">
        <f t="shared" ref="AD184:AD189" si="57">IF(U184="RR",IF((0.0304*(W184^5)-0.2619*(W184^4)+0.9161*(W184^3)-1.6837*(W184^2)+1.7072*W184-0.0091)&gt;0.85,0.85,IF((0.0304*(W184^5)-0.2619*(W184^4)+0.9161*(W184^3)-1.6837*(W184^2)+1.7072*W184-0.0091)&lt;0,0,(0.0304*(W184^5)-0.2619*(W184^4)+0.9161*(W184^3)-1.6837*(W184^2)+1.7072*W184-0.0091))),IF((0.0239*(W184^5)-0.2058*(W184^4)+0.7198*(W184^3)-1.3229*(W184^2)+1.3414*W184-0.0072)&gt;0.65,0.65,IF((0.0239*(W184^5)-0.2058*(W184^4)+0.7198*(W184^3)-1.3229*(W184^2)+1.3414*W184-0.0072)&lt;0,0,(0.0239*(W184^5)-0.2058*(W184^4)+0.7198*(W184^3)-1.3229*(W184^2)+1.3414*W184-0.0072))))</f>
        <v>0.5584877723888233</v>
      </c>
      <c r="AE184" s="139">
        <f t="shared" ref="AE184:AE189" si="58">R184*AD184</f>
        <v>0.45092479435967092</v>
      </c>
      <c r="AF184" s="516">
        <f t="shared" ref="AF184:AF189" si="59">MAX(Y184,AA184,AC184,AE184)</f>
        <v>0.60555237283565866</v>
      </c>
      <c r="AG184" s="636">
        <f>IF(ISNA(VLOOKUP(K184,'Efficiency Lookup'!$D$2:$G$35,3,FALSE)),0,VLOOKUP(K184,'Efficiency Lookup'!$D$2:$G$35,3,FALSE))</f>
        <v>0.7</v>
      </c>
      <c r="AH184" s="1022">
        <f t="shared" ref="AH184:AH189" si="60">S184*AG184</f>
        <v>7.1476404066262651</v>
      </c>
      <c r="AI184" s="637">
        <f t="shared" ref="AI184:AI189" si="61">IF(U184="RR",IF((0.0308*(W184^5)-0.2562*(W184^4)+0.8634*(W184^3)-1.5285*(W184^2)+1.501*W184-0.013)&gt;0.7,0.7,IF((0.0308*(W184^5)-0.2562*(W184^4)+0.8634*(W184^3)-1.5285*(W184^2)+1.501*W184-0.013)&lt;0,0,(0.0308*(W184^5)-0.2562*(W184^4)+0.8634*(W184^3)-1.5285*(W184^2)+1.501*W184-0.013))),IF((0.0152*(W184^5)-0.131*(W184^4)+0.4581*(W184^3)-0.8418*(W184^2)+0.8536*W184-0.0046)&gt;0.65,0.65,IF((0.0152*(W184^5)-0.131*(W184^4)+0.4581*(W184^3)-0.8418*(W184^2)+0.8536*W184-0.0046)&lt;0,0,(0.0152*(W184^5)-0.131*(W184^4)+0.4581*(W184^3)-0.8418*(W184^2)+0.8536*W184-0.0046))))</f>
        <v>0.47869585621395405</v>
      </c>
      <c r="AJ184" s="139">
        <f t="shared" ref="AJ184:AJ189" si="62">S184*AI184</f>
        <v>4.887922634799164</v>
      </c>
      <c r="AK184" s="416">
        <f t="shared" si="50"/>
        <v>7.1476404066262651</v>
      </c>
      <c r="AL184" s="636">
        <f>IF(ISNA(VLOOKUP(K184,'Efficiency Lookup'!$D$2:$G$35,4,FALSE)),0,VLOOKUP(K184,'Efficiency Lookup'!$D$2:$G$35,4,FALSE))</f>
        <v>0.8</v>
      </c>
      <c r="AM184" s="1022">
        <f t="shared" ref="AM184:AM189" si="63">T184*AL184</f>
        <v>447.64643806322948</v>
      </c>
      <c r="AN184" s="637">
        <f t="shared" ref="AN184:AN189" si="64">IF(U184="RR",IF((0.0326*(W184^5)-0.2806*(W184^4)+0.9816*(W184^3)-1.8039*(W184^2)+1.8292*W184-0.0098)&gt;0.85,0.85,IF((0.0326*(W184^5)-0.2806*(W184^4)+0.9816*(W184^3)-1.8039*(W184^2)+1.8292*W184-0.0098)&lt;0,0,(0.0326*(W184^5)-0.2806*(W184^4)+0.9816*(W184^3)-1.8039*(W184^2)+1.8292*W184-0.0098))),IF((0.0304*(W184^5)-0.2619*(W184^4)+0.9161*(W184^3)-1.6837*(W184^2)+1.7072*W184-0.0091)&gt;0.8,0.8,IF((0.0304*(W184^5)-0.2619*(W184^4)+0.9161*(W184^3)-1.6837*(W184^2)+1.7072*W184-0.0091)&lt;0,0,(0.0304*(W184^5)-0.2619*(W184^4)+0.9161*(W184^3)-1.6837*(W184^2)+1.7072*W184-0.0091))))</f>
        <v>0.59839661735809047</v>
      </c>
      <c r="AO184" s="139">
        <f t="shared" ref="AO184:AO189" si="65">T184*AN184</f>
        <v>334.83764288679311</v>
      </c>
      <c r="AP184" s="647">
        <f t="shared" ref="AP184:AP189" si="66">IF(AK184=AH184,AM184,AO184)</f>
        <v>447.64643806322948</v>
      </c>
      <c r="AQ184" s="789">
        <f t="shared" ref="AQ184:AQ189" si="67">IF(AF184&lt;0,0,AF184)</f>
        <v>0.60555237283565866</v>
      </c>
      <c r="AR184" s="789">
        <f t="shared" ref="AR184:AR189" si="68">IF(AK184&lt;0,0,AK184)</f>
        <v>7.1476404066262651</v>
      </c>
      <c r="AS184" s="790">
        <f t="shared" ref="AS184:AS189" si="69">IF(AP184&lt;0,0,AP184)</f>
        <v>447.64643806322948</v>
      </c>
    </row>
    <row r="185" spans="1:45" ht="30" x14ac:dyDescent="0.25">
      <c r="A185" s="261" t="s">
        <v>696</v>
      </c>
      <c r="B185" s="510">
        <v>38.028751</v>
      </c>
      <c r="C185" s="510">
        <v>-78.450967000000006</v>
      </c>
      <c r="D185" s="510" t="s">
        <v>296</v>
      </c>
      <c r="E185" s="511">
        <v>264.02999999999997</v>
      </c>
      <c r="F185" s="669">
        <v>39007</v>
      </c>
      <c r="G185" s="510" t="s">
        <v>289</v>
      </c>
      <c r="H185" s="511" t="s">
        <v>369</v>
      </c>
      <c r="I185" s="511" t="str">
        <f t="shared" si="49"/>
        <v>Filterra</v>
      </c>
      <c r="J185" s="511" t="s">
        <v>411</v>
      </c>
      <c r="K185" s="511" t="s">
        <v>662</v>
      </c>
      <c r="L185" s="261"/>
      <c r="M185" s="514">
        <f t="shared" si="51"/>
        <v>6.0809128154018996E-2</v>
      </c>
      <c r="N185" s="672">
        <v>6.0501292608136997E-2</v>
      </c>
      <c r="O185" s="514">
        <v>3.0783554588199999E-4</v>
      </c>
      <c r="P185" s="514">
        <v>0</v>
      </c>
      <c r="Q185" s="673">
        <f t="shared" si="52"/>
        <v>0.99493767539139344</v>
      </c>
      <c r="R185" s="689">
        <f>IF(L184="TT",(1.76*N185+0.5*O185+0.13*P185)-AF184,1.76*N185+0.5*O185+0.13*P185)</f>
        <v>0.10663619276326212</v>
      </c>
      <c r="S185" s="689">
        <f>IF(L184="TT",(M185*9.39+N185*6.99+O185*2.36)-AK184,M185*9.39+N185*6.99+O185*2.36)</f>
        <v>0.99462824058539756</v>
      </c>
      <c r="T185" s="689">
        <f>IF(L184="TT",(M185*676.94+N185*101.08+O185*77.38)-AP184,M185*676.94+N185*101.08+O185*77.38)</f>
        <v>47.303422183952463</v>
      </c>
      <c r="U185" s="1022" t="s">
        <v>278</v>
      </c>
      <c r="V185" s="514">
        <v>88.5</v>
      </c>
      <c r="W185" s="675">
        <f t="shared" si="53"/>
        <v>0.40296932905491734</v>
      </c>
      <c r="X185" s="634">
        <f t="shared" si="48"/>
        <v>0.5</v>
      </c>
      <c r="Y185" s="676">
        <f t="shared" si="54"/>
        <v>5.3318096381631062E-2</v>
      </c>
      <c r="Z185" s="640">
        <v>0.76</v>
      </c>
      <c r="AA185" s="1022">
        <f t="shared" si="55"/>
        <v>8.1043506500079215E-2</v>
      </c>
      <c r="AB185" s="635">
        <f>IF(ISNA(VLOOKUP(K185,'Efficiency Lookup'!$D$2:$E$35,2,FALSE)),0,VLOOKUP(K185,'Efficiency Lookup'!$D$2:$E$35,2,FALSE))</f>
        <v>0</v>
      </c>
      <c r="AC185" s="139">
        <f t="shared" si="56"/>
        <v>0</v>
      </c>
      <c r="AD185" s="637">
        <f t="shared" si="57"/>
        <v>0.36045292993639888</v>
      </c>
      <c r="AE185" s="139">
        <f t="shared" si="58"/>
        <v>3.8437328118780451E-2</v>
      </c>
      <c r="AF185" s="516">
        <f t="shared" si="59"/>
        <v>8.1043506500079215E-2</v>
      </c>
      <c r="AG185" s="634">
        <f>IF(ISNA(VLOOKUP(K185,'Efficiency Lookup'!$D$2:$G$35,3,FALSE)),0,VLOOKUP(K185,'Efficiency Lookup'!$D$2:$G$35,3,FALSE))</f>
        <v>0</v>
      </c>
      <c r="AH185" s="139">
        <f t="shared" si="60"/>
        <v>0</v>
      </c>
      <c r="AI185" s="649">
        <f t="shared" si="61"/>
        <v>0.2293629287030543</v>
      </c>
      <c r="AJ185" s="1022">
        <f t="shared" si="62"/>
        <v>0.22813084623143287</v>
      </c>
      <c r="AK185" s="416">
        <f t="shared" si="50"/>
        <v>0.22813084623143287</v>
      </c>
      <c r="AL185" s="634">
        <f>IF(ISNA(VLOOKUP(K185,'Efficiency Lookup'!$D$2:$G$35,4,FALSE)),0,VLOOKUP(K185,'Efficiency Lookup'!$D$2:$G$35,4,FALSE))</f>
        <v>0</v>
      </c>
      <c r="AM185" s="139">
        <f t="shared" si="63"/>
        <v>0</v>
      </c>
      <c r="AN185" s="521">
        <f t="shared" si="64"/>
        <v>0.45880571225509448</v>
      </c>
      <c r="AO185" s="1005">
        <f t="shared" si="65"/>
        <v>21.703080307211746</v>
      </c>
      <c r="AP185" s="647">
        <f t="shared" si="66"/>
        <v>21.703080307211746</v>
      </c>
      <c r="AQ185" s="789">
        <f t="shared" si="67"/>
        <v>8.1043506500079215E-2</v>
      </c>
      <c r="AR185" s="789">
        <f t="shared" si="68"/>
        <v>0.22813084623143287</v>
      </c>
      <c r="AS185" s="790">
        <f t="shared" si="69"/>
        <v>21.703080307211746</v>
      </c>
    </row>
    <row r="186" spans="1:45" ht="30" x14ac:dyDescent="0.25">
      <c r="A186" s="261" t="s">
        <v>696</v>
      </c>
      <c r="B186" s="510">
        <v>38.028486000000001</v>
      </c>
      <c r="C186" s="510">
        <v>-78.450756999999996</v>
      </c>
      <c r="D186" s="510" t="s">
        <v>296</v>
      </c>
      <c r="E186" s="511">
        <v>264.04000000000002</v>
      </c>
      <c r="F186" s="669">
        <v>39007</v>
      </c>
      <c r="G186" s="510" t="s">
        <v>289</v>
      </c>
      <c r="H186" s="511" t="s">
        <v>370</v>
      </c>
      <c r="I186" s="511" t="str">
        <f t="shared" si="49"/>
        <v>Filterra</v>
      </c>
      <c r="J186" s="511" t="s">
        <v>411</v>
      </c>
      <c r="K186" s="511" t="s">
        <v>662</v>
      </c>
      <c r="L186" s="261"/>
      <c r="M186" s="514">
        <f t="shared" si="51"/>
        <v>0.27535634392224001</v>
      </c>
      <c r="N186" s="672">
        <v>0.27374530906299999</v>
      </c>
      <c r="O186" s="514">
        <v>1.61103485924E-3</v>
      </c>
      <c r="P186" s="514">
        <v>0</v>
      </c>
      <c r="Q186" s="673">
        <f t="shared" si="52"/>
        <v>0.9941492727703598</v>
      </c>
      <c r="R186" s="689">
        <f>IF(L185="TT",(1.76*N186+0.5*O186+0.13*P186)-AF185,1.76*N186+0.5*O186+0.13*P186)</f>
        <v>0.48259726138049996</v>
      </c>
      <c r="S186" s="689">
        <f>IF(L185="TT",(M186*9.39+N186*6.99+O186*2.36)-AK185,M186*9.39+N186*6.99+O186*2.36)</f>
        <v>4.5028778220480099</v>
      </c>
      <c r="T186" s="689">
        <f>IF(L185="TT",(M186*676.94+N186*101.08+O186*77.38)-AP185,M186*676.94+N186*101.08+O186*77.38)</f>
        <v>214.19456117221719</v>
      </c>
      <c r="U186" s="1022" t="s">
        <v>278</v>
      </c>
      <c r="V186" s="514">
        <v>106.2</v>
      </c>
      <c r="W186" s="675">
        <f t="shared" si="53"/>
        <v>0.10687378880481344</v>
      </c>
      <c r="X186" s="634">
        <f t="shared" si="48"/>
        <v>0.5</v>
      </c>
      <c r="Y186" s="676">
        <f t="shared" si="54"/>
        <v>0.24129863069024998</v>
      </c>
      <c r="Z186" s="640">
        <v>0.76</v>
      </c>
      <c r="AA186" s="1022">
        <f t="shared" si="55"/>
        <v>0.36677391864917996</v>
      </c>
      <c r="AB186" s="635">
        <f>IF(ISNA(VLOOKUP(K186,'Efficiency Lookup'!$D$2:$E$35,2,FALSE)),0,VLOOKUP(K186,'Efficiency Lookup'!$D$2:$E$35,2,FALSE))</f>
        <v>0</v>
      </c>
      <c r="AC186" s="139">
        <f t="shared" si="56"/>
        <v>0</v>
      </c>
      <c r="AD186" s="637">
        <f t="shared" si="57"/>
        <v>0.12190248101887409</v>
      </c>
      <c r="AE186" s="139">
        <f t="shared" si="58"/>
        <v>5.8829803495197015E-2</v>
      </c>
      <c r="AF186" s="516">
        <f t="shared" si="59"/>
        <v>0.36677391864917996</v>
      </c>
      <c r="AG186" s="634">
        <f>IF(ISNA(VLOOKUP(K186,'Efficiency Lookup'!$D$2:$G$35,3,FALSE)),0,VLOOKUP(K186,'Efficiency Lookup'!$D$2:$G$35,3,FALSE))</f>
        <v>0</v>
      </c>
      <c r="AH186" s="139">
        <f t="shared" si="60"/>
        <v>0</v>
      </c>
      <c r="AI186" s="649">
        <f t="shared" si="61"/>
        <v>7.7554750923190724E-2</v>
      </c>
      <c r="AJ186" s="1022">
        <f t="shared" si="62"/>
        <v>0.34921956792649295</v>
      </c>
      <c r="AK186" s="416">
        <f t="shared" si="50"/>
        <v>0.34921956792649295</v>
      </c>
      <c r="AL186" s="634">
        <f>IF(ISNA(VLOOKUP(K186,'Efficiency Lookup'!$D$2:$G$35,4,FALSE)),0,VLOOKUP(K186,'Efficiency Lookup'!$D$2:$G$35,4,FALSE))</f>
        <v>0</v>
      </c>
      <c r="AM186" s="139">
        <f t="shared" si="63"/>
        <v>0</v>
      </c>
      <c r="AN186" s="521">
        <f t="shared" si="64"/>
        <v>0.15520825062061833</v>
      </c>
      <c r="AO186" s="1005">
        <f t="shared" si="65"/>
        <v>33.244763131990851</v>
      </c>
      <c r="AP186" s="647">
        <f t="shared" si="66"/>
        <v>33.244763131990851</v>
      </c>
      <c r="AQ186" s="789">
        <f t="shared" si="67"/>
        <v>0.36677391864917996</v>
      </c>
      <c r="AR186" s="789">
        <f t="shared" si="68"/>
        <v>0.34921956792649295</v>
      </c>
      <c r="AS186" s="790">
        <f t="shared" si="69"/>
        <v>33.244763131990851</v>
      </c>
    </row>
    <row r="187" spans="1:45" ht="30" x14ac:dyDescent="0.25">
      <c r="A187" s="261" t="s">
        <v>696</v>
      </c>
      <c r="B187" s="510">
        <v>38.028176999999999</v>
      </c>
      <c r="C187" s="510">
        <v>-78.450773999999996</v>
      </c>
      <c r="D187" s="510" t="s">
        <v>296</v>
      </c>
      <c r="E187" s="511">
        <v>264.05</v>
      </c>
      <c r="F187" s="669">
        <v>39007</v>
      </c>
      <c r="G187" s="510" t="s">
        <v>289</v>
      </c>
      <c r="H187" s="511" t="s">
        <v>415</v>
      </c>
      <c r="I187" s="511" t="str">
        <f t="shared" si="49"/>
        <v>Filterra</v>
      </c>
      <c r="J187" s="511" t="s">
        <v>411</v>
      </c>
      <c r="K187" s="511" t="s">
        <v>662</v>
      </c>
      <c r="L187" s="261"/>
      <c r="M187" s="514">
        <f t="shared" si="51"/>
        <v>9.4526468918461004E-2</v>
      </c>
      <c r="N187" s="672">
        <v>7.8852266313768002E-2</v>
      </c>
      <c r="O187" s="514">
        <v>1.5674202604692999E-2</v>
      </c>
      <c r="P187" s="514">
        <v>0</v>
      </c>
      <c r="Q187" s="673">
        <f t="shared" si="52"/>
        <v>0.83418186689895668</v>
      </c>
      <c r="R187" s="689">
        <f>IF(L186="TT",(1.76*N187+0.5*O187+0.13*P187)-AF186,1.76*N187+0.5*O187+0.13*P187)</f>
        <v>0.14661709001457818</v>
      </c>
      <c r="S187" s="689">
        <f>IF(L186="TT",(M187*9.39+N187*6.99+O187*2.36)-AK186,M187*9.39+N187*6.99+O187*2.36)</f>
        <v>1.4757720028246626</v>
      </c>
      <c r="T187" s="689">
        <f>IF(L186="TT",(M187*676.94+N187*101.08+O187*77.38)-AP186,M187*676.94+N187*101.08+O187*77.38)</f>
        <v>73.172004746209808</v>
      </c>
      <c r="U187" s="1022" t="s">
        <v>278</v>
      </c>
      <c r="V187" s="514">
        <v>35.4</v>
      </c>
      <c r="W187" s="675">
        <f t="shared" si="53"/>
        <v>0.12367515318960108</v>
      </c>
      <c r="X187" s="634">
        <f t="shared" si="48"/>
        <v>0.5</v>
      </c>
      <c r="Y187" s="676">
        <f t="shared" si="54"/>
        <v>7.3308545007289089E-2</v>
      </c>
      <c r="Z187" s="640">
        <v>0.76</v>
      </c>
      <c r="AA187" s="1022">
        <f t="shared" si="55"/>
        <v>0.11142898841107941</v>
      </c>
      <c r="AB187" s="635">
        <f>IF(ISNA(VLOOKUP(K187,'Efficiency Lookup'!$D$2:$E$35,2,FALSE)),0,VLOOKUP(K187,'Efficiency Lookup'!$D$2:$E$35,2,FALSE))</f>
        <v>0</v>
      </c>
      <c r="AC187" s="139">
        <f t="shared" si="56"/>
        <v>0</v>
      </c>
      <c r="AD187" s="637">
        <f t="shared" si="57"/>
        <v>0.13977755015705801</v>
      </c>
      <c r="AE187" s="139">
        <f t="shared" si="58"/>
        <v>2.049377765339459E-2</v>
      </c>
      <c r="AF187" s="516">
        <f t="shared" si="59"/>
        <v>0.11142898841107941</v>
      </c>
      <c r="AG187" s="634">
        <f>IF(ISNA(VLOOKUP(K187,'Efficiency Lookup'!$D$2:$G$35,3,FALSE)),0,VLOOKUP(K187,'Efficiency Lookup'!$D$2:$G$35,3,FALSE))</f>
        <v>0</v>
      </c>
      <c r="AH187" s="139">
        <f t="shared" si="60"/>
        <v>0</v>
      </c>
      <c r="AI187" s="649">
        <f t="shared" si="61"/>
        <v>8.8929692109544017E-2</v>
      </c>
      <c r="AJ187" s="1022">
        <f t="shared" si="62"/>
        <v>0.13123994983508236</v>
      </c>
      <c r="AK187" s="416">
        <f t="shared" si="50"/>
        <v>0.13123994983508236</v>
      </c>
      <c r="AL187" s="634">
        <f>IF(ISNA(VLOOKUP(K187,'Efficiency Lookup'!$D$2:$G$35,4,FALSE)),0,VLOOKUP(K187,'Efficiency Lookup'!$D$2:$G$35,4,FALSE))</f>
        <v>0</v>
      </c>
      <c r="AM187" s="139">
        <f t="shared" si="63"/>
        <v>0</v>
      </c>
      <c r="AN187" s="521">
        <f t="shared" si="64"/>
        <v>0.17795768889223282</v>
      </c>
      <c r="AO187" s="1005">
        <f t="shared" si="65"/>
        <v>13.021520856246989</v>
      </c>
      <c r="AP187" s="647">
        <f t="shared" si="66"/>
        <v>13.021520856246989</v>
      </c>
      <c r="AQ187" s="789">
        <f t="shared" si="67"/>
        <v>0.11142898841107941</v>
      </c>
      <c r="AR187" s="789">
        <f t="shared" si="68"/>
        <v>0.13123994983508236</v>
      </c>
      <c r="AS187" s="790">
        <f t="shared" si="69"/>
        <v>13.021520856246989</v>
      </c>
    </row>
    <row r="188" spans="1:45" ht="30" x14ac:dyDescent="0.25">
      <c r="A188" s="261" t="s">
        <v>696</v>
      </c>
      <c r="B188" s="510">
        <v>38.028014499999998</v>
      </c>
      <c r="C188" s="510">
        <v>-78.450871500000005</v>
      </c>
      <c r="D188" s="510" t="s">
        <v>296</v>
      </c>
      <c r="E188" s="714" t="s">
        <v>697</v>
      </c>
      <c r="F188" s="669">
        <v>39007</v>
      </c>
      <c r="G188" s="510" t="s">
        <v>289</v>
      </c>
      <c r="H188" s="511" t="s">
        <v>698</v>
      </c>
      <c r="I188" s="511" t="str">
        <f t="shared" si="49"/>
        <v>Filterra</v>
      </c>
      <c r="J188" s="511" t="s">
        <v>411</v>
      </c>
      <c r="K188" s="511" t="s">
        <v>662</v>
      </c>
      <c r="L188" s="261"/>
      <c r="M188" s="514">
        <f t="shared" si="51"/>
        <v>0.79572722079691094</v>
      </c>
      <c r="N188" s="672">
        <v>0.79498021382167394</v>
      </c>
      <c r="O188" s="514">
        <v>7.4700697523700003E-4</v>
      </c>
      <c r="P188" s="514">
        <v>0</v>
      </c>
      <c r="Q188" s="673">
        <f t="shared" si="52"/>
        <v>0.99906122732047686</v>
      </c>
      <c r="R188" s="689">
        <f>IF(L187="TT",(1.76*N188+0.5*O188+0.13*P188)-AF187,1.76*N188+0.5*O188+0.13*P188)</f>
        <v>1.3995386798137646</v>
      </c>
      <c r="S188" s="689">
        <f>IF(L187="TT",(M188*9.39+N188*6.99+O188*2.36)-AK187,M188*9.39+N188*6.99+O188*2.36)</f>
        <v>13.030553234358056</v>
      </c>
      <c r="T188" s="689">
        <f>IF(L187="TT",(M188*676.94+N188*101.08+O188*77.38)-AP187,M188*676.94+N188*101.08+O188*77.38)</f>
        <v>619.07398825909956</v>
      </c>
      <c r="U188" s="1022" t="s">
        <v>278</v>
      </c>
      <c r="V188" s="514">
        <f>53.1*2</f>
        <v>106.2</v>
      </c>
      <c r="W188" s="675">
        <f t="shared" si="53"/>
        <v>3.6801165410728129E-2</v>
      </c>
      <c r="X188" s="634">
        <f t="shared" si="48"/>
        <v>0.5</v>
      </c>
      <c r="Y188" s="676">
        <f t="shared" si="54"/>
        <v>0.69976933990688228</v>
      </c>
      <c r="Z188" s="640">
        <v>0.76</v>
      </c>
      <c r="AA188" s="1022">
        <f t="shared" si="55"/>
        <v>1.063649396658461</v>
      </c>
      <c r="AB188" s="635">
        <f>IF(ISNA(VLOOKUP(K188,'Efficiency Lookup'!$D$2:$E$35,2,FALSE)),0,VLOOKUP(K188,'Efficiency Lookup'!$D$2:$E$35,2,FALSE))</f>
        <v>0</v>
      </c>
      <c r="AC188" s="139">
        <f t="shared" si="56"/>
        <v>0</v>
      </c>
      <c r="AD188" s="637">
        <f t="shared" si="57"/>
        <v>4.0408945232684935E-2</v>
      </c>
      <c r="AE188" s="139">
        <f t="shared" si="58"/>
        <v>5.6553881863618587E-2</v>
      </c>
      <c r="AF188" s="516">
        <f t="shared" si="59"/>
        <v>1.063649396658461</v>
      </c>
      <c r="AG188" s="634">
        <f>IF(ISNA(VLOOKUP(K188,'Efficiency Lookup'!$D$2:$G$35,3,FALSE)),0,VLOOKUP(K188,'Efficiency Lookup'!$D$2:$G$35,3,FALSE))</f>
        <v>0</v>
      </c>
      <c r="AH188" s="139">
        <f t="shared" si="60"/>
        <v>0</v>
      </c>
      <c r="AI188" s="649">
        <f t="shared" si="61"/>
        <v>2.5695996158050384E-2</v>
      </c>
      <c r="AJ188" s="1022">
        <f t="shared" si="62"/>
        <v>0.33483304584733559</v>
      </c>
      <c r="AK188" s="416">
        <f t="shared" si="50"/>
        <v>0.33483304584733559</v>
      </c>
      <c r="AL188" s="634">
        <f>IF(ISNA(VLOOKUP(K188,'Efficiency Lookup'!$D$2:$G$35,4,FALSE)),0,VLOOKUP(K188,'Efficiency Lookup'!$D$2:$G$35,4,FALSE))</f>
        <v>0</v>
      </c>
      <c r="AM188" s="139">
        <f t="shared" si="63"/>
        <v>0</v>
      </c>
      <c r="AN188" s="521">
        <f t="shared" si="64"/>
        <v>5.1491852082866357E-2</v>
      </c>
      <c r="AO188" s="1005">
        <f t="shared" si="65"/>
        <v>31.877266231787697</v>
      </c>
      <c r="AP188" s="647">
        <f t="shared" si="66"/>
        <v>31.877266231787697</v>
      </c>
      <c r="AQ188" s="789">
        <f t="shared" si="67"/>
        <v>1.063649396658461</v>
      </c>
      <c r="AR188" s="789">
        <f t="shared" si="68"/>
        <v>0.33483304584733559</v>
      </c>
      <c r="AS188" s="790">
        <f t="shared" si="69"/>
        <v>31.877266231787697</v>
      </c>
    </row>
    <row r="189" spans="1:45" x14ac:dyDescent="0.25">
      <c r="A189" s="261" t="s">
        <v>696</v>
      </c>
      <c r="B189" s="510">
        <v>38.028604000000001</v>
      </c>
      <c r="C189" s="510">
        <v>-78.451077999999995</v>
      </c>
      <c r="D189" s="510" t="s">
        <v>296</v>
      </c>
      <c r="E189" s="511">
        <v>264.01</v>
      </c>
      <c r="F189" s="669">
        <v>39007</v>
      </c>
      <c r="G189" s="510" t="s">
        <v>331</v>
      </c>
      <c r="H189" s="511"/>
      <c r="I189" s="511"/>
      <c r="J189" s="511" t="s">
        <v>367</v>
      </c>
      <c r="K189" s="511" t="s">
        <v>334</v>
      </c>
      <c r="L189" s="261"/>
      <c r="M189" s="514">
        <f t="shared" si="51"/>
        <v>0.72941591378876403</v>
      </c>
      <c r="N189" s="672">
        <v>0.28618594131471597</v>
      </c>
      <c r="O189" s="514">
        <v>0.44321991584100001</v>
      </c>
      <c r="P189" s="514">
        <v>1.0056633048E-5</v>
      </c>
      <c r="Q189" s="673">
        <f t="shared" si="52"/>
        <v>0.39234946195264159</v>
      </c>
      <c r="R189" s="689">
        <f>IF(L188="TT",(1.76*N189+0.5*O189+0.13*P189)-SUM(AF183:AF188),1.76*N189+0.5*O189+0.13*P189)</f>
        <v>0.72529852199669631</v>
      </c>
      <c r="S189" s="689">
        <f>IF(L188="TT",(M189*9.39+N189*6.99+O189*2.36)-SUM(AK183:AK188),M189*9.39+N189*6.99+O189*2.36)</f>
        <v>9.8956541616511196</v>
      </c>
      <c r="T189" s="689">
        <f>IF(L188="TT",(M189*676.94+N189*101.08+O189*77.38)-SUM(AP183:AP188),M189*676.94+N189*101.08+O189*77.38)</f>
        <v>556.99484071603399</v>
      </c>
      <c r="U189" s="1022" t="s">
        <v>285</v>
      </c>
      <c r="V189" s="514" t="s">
        <v>295</v>
      </c>
      <c r="W189" s="675">
        <f t="shared" si="53"/>
        <v>0</v>
      </c>
      <c r="X189" s="634" t="str">
        <f t="shared" si="48"/>
        <v>NA</v>
      </c>
      <c r="Y189" s="676">
        <f t="shared" si="54"/>
        <v>0</v>
      </c>
      <c r="Z189" s="635">
        <f>IF(ISNA(VLOOKUP(J189,'Efficiency Lookup'!$B$2:$C$38,2,FALSE)),0,(VLOOKUP(J189,'Efficiency Lookup'!$B$2:$C$38,2,FALSE)))</f>
        <v>0.35</v>
      </c>
      <c r="AA189" s="139">
        <f t="shared" si="55"/>
        <v>0.2538544826988437</v>
      </c>
      <c r="AB189" s="1061">
        <f>IF(ISNA(VLOOKUP(K189,'Efficiency Lookup'!$D$2:$E$35,2,FALSE)),0,VLOOKUP(K189,'Efficiency Lookup'!$D$2:$E$35,2,FALSE))</f>
        <v>0.75</v>
      </c>
      <c r="AC189" s="1022">
        <f t="shared" si="56"/>
        <v>0.54397389149752229</v>
      </c>
      <c r="AD189" s="637">
        <f t="shared" si="57"/>
        <v>0</v>
      </c>
      <c r="AE189" s="139">
        <f t="shared" si="58"/>
        <v>0</v>
      </c>
      <c r="AF189" s="516">
        <f t="shared" si="59"/>
        <v>0.54397389149752229</v>
      </c>
      <c r="AG189" s="636">
        <f>IF(ISNA(VLOOKUP(K189,'Efficiency Lookup'!$D$2:$G$35,3,FALSE)),0,VLOOKUP(K189,'Efficiency Lookup'!$D$2:$G$35,3,FALSE))</f>
        <v>0.7</v>
      </c>
      <c r="AH189" s="1022">
        <f t="shared" si="60"/>
        <v>6.9269579131557837</v>
      </c>
      <c r="AI189" s="637">
        <f t="shared" si="61"/>
        <v>0</v>
      </c>
      <c r="AJ189" s="139">
        <f t="shared" si="62"/>
        <v>0</v>
      </c>
      <c r="AK189" s="416">
        <f t="shared" si="50"/>
        <v>6.9269579131557837</v>
      </c>
      <c r="AL189" s="641">
        <f>IF(ISNA(VLOOKUP(K189,'Efficiency Lookup'!$D$2:$G$35,4,FALSE)),0,VLOOKUP(K189,'Efficiency Lookup'!$D$2:$G$35,4,FALSE))</f>
        <v>0.8</v>
      </c>
      <c r="AM189" s="1022">
        <f t="shared" si="63"/>
        <v>445.5958725728272</v>
      </c>
      <c r="AN189" s="637">
        <f t="shared" si="64"/>
        <v>0</v>
      </c>
      <c r="AO189" s="139">
        <f t="shared" si="65"/>
        <v>0</v>
      </c>
      <c r="AP189" s="647">
        <f t="shared" si="66"/>
        <v>445.5958725728272</v>
      </c>
      <c r="AQ189" s="789">
        <f t="shared" si="67"/>
        <v>0.54397389149752229</v>
      </c>
      <c r="AR189" s="789">
        <f t="shared" si="68"/>
        <v>6.9269579131557837</v>
      </c>
      <c r="AS189" s="790">
        <f t="shared" si="69"/>
        <v>445.5958725728272</v>
      </c>
    </row>
    <row r="190" spans="1:45" x14ac:dyDescent="0.25">
      <c r="A190" s="261"/>
      <c r="B190" s="510" t="s">
        <v>297</v>
      </c>
      <c r="C190" s="510" t="s">
        <v>297</v>
      </c>
      <c r="D190" s="510" t="s">
        <v>297</v>
      </c>
      <c r="E190" s="511"/>
      <c r="F190" s="705"/>
      <c r="G190" s="510"/>
      <c r="H190" s="511"/>
      <c r="I190" s="261" t="str">
        <f t="shared" si="49"/>
        <v/>
      </c>
      <c r="J190" s="511"/>
      <c r="K190" s="511"/>
      <c r="L190" s="510"/>
      <c r="M190" s="510"/>
      <c r="N190" s="672"/>
      <c r="O190" s="514"/>
      <c r="P190" s="514" t="s">
        <v>297</v>
      </c>
      <c r="Q190" s="688"/>
      <c r="R190" s="674"/>
      <c r="S190" s="674"/>
      <c r="T190" s="674"/>
      <c r="U190" s="1022"/>
      <c r="V190" s="514"/>
      <c r="W190" s="675"/>
      <c r="X190" s="636" t="str">
        <f t="shared" si="48"/>
        <v/>
      </c>
      <c r="Y190" s="706"/>
      <c r="Z190" s="640"/>
      <c r="AA190" s="1022"/>
      <c r="AB190" s="637"/>
      <c r="AC190" s="637"/>
      <c r="AD190" s="637"/>
      <c r="AE190" s="139"/>
      <c r="AF190" s="642"/>
      <c r="AG190" s="583"/>
      <c r="AH190" s="139"/>
      <c r="AI190" s="637"/>
      <c r="AJ190" s="139"/>
      <c r="AK190" s="416" t="str">
        <f t="shared" si="50"/>
        <v/>
      </c>
      <c r="AL190" s="642"/>
      <c r="AM190" s="637"/>
      <c r="AN190" s="637"/>
      <c r="AO190" s="139"/>
      <c r="AP190" s="647"/>
      <c r="AQ190" s="789"/>
      <c r="AR190" s="789"/>
      <c r="AS190" s="790"/>
    </row>
    <row r="191" spans="1:45" x14ac:dyDescent="0.25">
      <c r="A191" s="628"/>
      <c r="B191" s="668" t="s">
        <v>297</v>
      </c>
      <c r="C191" s="668" t="s">
        <v>297</v>
      </c>
      <c r="D191" s="668" t="s">
        <v>297</v>
      </c>
      <c r="E191" s="710"/>
      <c r="F191" s="711"/>
      <c r="G191" s="668"/>
      <c r="H191" s="712"/>
      <c r="I191" s="712" t="str">
        <f t="shared" si="49"/>
        <v/>
      </c>
      <c r="J191" s="712"/>
      <c r="K191" s="712"/>
      <c r="L191" s="712"/>
      <c r="M191" s="712"/>
      <c r="N191" s="712"/>
      <c r="O191" s="712"/>
      <c r="P191" s="712"/>
      <c r="Q191" s="712"/>
      <c r="R191" s="712"/>
      <c r="S191" s="712"/>
      <c r="T191" s="712"/>
      <c r="U191" s="712"/>
      <c r="V191" s="712"/>
      <c r="W191" s="712"/>
      <c r="X191" s="760" t="str">
        <f t="shared" si="48"/>
        <v/>
      </c>
      <c r="Y191" s="713"/>
      <c r="Z191" s="712"/>
      <c r="AA191" s="712"/>
      <c r="AB191" s="638"/>
      <c r="AC191" s="638"/>
      <c r="AD191" s="638"/>
      <c r="AE191" s="629"/>
      <c r="AF191" s="666"/>
      <c r="AG191" s="666"/>
      <c r="AH191" s="629"/>
      <c r="AI191" s="638"/>
      <c r="AJ191" s="629"/>
      <c r="AK191" s="639" t="str">
        <f t="shared" si="50"/>
        <v/>
      </c>
      <c r="AL191" s="644"/>
      <c r="AM191" s="638"/>
      <c r="AN191" s="638"/>
      <c r="AO191" s="629"/>
      <c r="AP191" s="648"/>
      <c r="AQ191" s="791"/>
      <c r="AR191" s="791"/>
      <c r="AS191" s="792"/>
    </row>
    <row r="192" spans="1:45" ht="14.45" customHeight="1" x14ac:dyDescent="0.25">
      <c r="A192" s="261"/>
      <c r="B192" s="510" t="s">
        <v>297</v>
      </c>
      <c r="C192" s="510" t="s">
        <v>297</v>
      </c>
      <c r="D192" s="510" t="s">
        <v>297</v>
      </c>
      <c r="E192" s="704"/>
      <c r="F192" s="705"/>
      <c r="G192" s="510"/>
      <c r="H192" s="511"/>
      <c r="I192" s="261" t="str">
        <f t="shared" si="49"/>
        <v/>
      </c>
      <c r="J192" s="511"/>
      <c r="K192" s="511"/>
      <c r="L192" s="510"/>
      <c r="M192" s="510"/>
      <c r="N192" s="672"/>
      <c r="O192" s="514"/>
      <c r="P192" s="514" t="s">
        <v>297</v>
      </c>
      <c r="Q192" s="688"/>
      <c r="R192" s="674"/>
      <c r="S192" s="674"/>
      <c r="T192" s="674"/>
      <c r="U192" s="1022"/>
      <c r="V192" s="514"/>
      <c r="W192" s="675"/>
      <c r="X192" s="636" t="str">
        <f t="shared" si="48"/>
        <v/>
      </c>
      <c r="Y192" s="706"/>
      <c r="Z192" s="640"/>
      <c r="AA192" s="1022"/>
      <c r="AB192" s="637"/>
      <c r="AC192" s="637"/>
      <c r="AD192" s="637"/>
      <c r="AE192" s="139"/>
      <c r="AF192" s="642"/>
      <c r="AG192" s="583"/>
      <c r="AH192" s="139"/>
      <c r="AI192" s="637"/>
      <c r="AJ192" s="139"/>
      <c r="AK192" s="416" t="str">
        <f t="shared" si="50"/>
        <v/>
      </c>
      <c r="AL192" s="642"/>
      <c r="AM192" s="637"/>
      <c r="AN192" s="637"/>
      <c r="AO192" s="139"/>
      <c r="AP192" s="647"/>
      <c r="AQ192" s="789"/>
      <c r="AR192" s="789"/>
      <c r="AS192" s="790"/>
    </row>
    <row r="193" spans="1:45" ht="30" x14ac:dyDescent="0.25">
      <c r="A193" s="261" t="s">
        <v>699</v>
      </c>
      <c r="B193" s="510">
        <v>38.032493000000002</v>
      </c>
      <c r="C193" s="510">
        <v>-78.453920999999994</v>
      </c>
      <c r="D193" s="510" t="s">
        <v>296</v>
      </c>
      <c r="E193" s="511">
        <v>350.02</v>
      </c>
      <c r="F193" s="669">
        <v>40757</v>
      </c>
      <c r="G193" s="510" t="s">
        <v>289</v>
      </c>
      <c r="H193" s="511" t="s">
        <v>700</v>
      </c>
      <c r="I193" s="511" t="str">
        <f t="shared" si="49"/>
        <v>Filterra</v>
      </c>
      <c r="J193" s="511" t="s">
        <v>411</v>
      </c>
      <c r="K193" s="511" t="s">
        <v>662</v>
      </c>
      <c r="L193" s="261"/>
      <c r="M193" s="671">
        <f>N193+O193+P193</f>
        <v>5.8917196664902999E-2</v>
      </c>
      <c r="N193" s="672">
        <v>4.8672297355599997E-2</v>
      </c>
      <c r="O193" s="514">
        <v>1.0244899309303E-2</v>
      </c>
      <c r="P193" s="514">
        <v>0</v>
      </c>
      <c r="Q193" s="673">
        <f>+N193/M193</f>
        <v>0.82611359858868005</v>
      </c>
      <c r="R193" s="674">
        <f>IF(L192="TT",(1.76*N193+0.5*O193+0.13*P193)-AF192,1.76*N193+0.5*O193+0.13*P193)</f>
        <v>9.0785693000507497E-2</v>
      </c>
      <c r="S193" s="674">
        <f>IF(L192="TT",(M193*9.39+N193*6.99+O193*2.36)-AK192,M193*9.39+N193*6.99+O193*2.36)</f>
        <v>0.91762979756903829</v>
      </c>
      <c r="T193" s="674">
        <f>IF(L192="TT",(M193*676.94+N193*101.08+O193*77.38)-AP192,M193*676.94+N193*101.08+O193*77.38)</f>
        <v>45.595953235597349</v>
      </c>
      <c r="U193" s="1022" t="s">
        <v>278</v>
      </c>
      <c r="V193" s="514">
        <v>70.8</v>
      </c>
      <c r="W193" s="675">
        <f>IF(V193="NA", 0, (V193)*12/N193/43560)</f>
        <v>0.40072347703063382</v>
      </c>
      <c r="X193" s="634">
        <f t="shared" si="48"/>
        <v>0.5</v>
      </c>
      <c r="Y193" s="676">
        <f>IF(X193="NA",0,R193*X193)</f>
        <v>4.5392846500253749E-2</v>
      </c>
      <c r="Z193" s="640">
        <v>0.7</v>
      </c>
      <c r="AA193" s="1022">
        <f>R193*Z193</f>
        <v>6.3549985100355241E-2</v>
      </c>
      <c r="AB193" s="635">
        <f>IF(ISNA(VLOOKUP(K193,'Efficiency Lookup'!$D$2:$E$35,2,FALSE)),0,VLOOKUP(K193,'Efficiency Lookup'!$D$2:$E$35,2,FALSE))</f>
        <v>0</v>
      </c>
      <c r="AC193" s="139">
        <f>R193*AB193</f>
        <v>0</v>
      </c>
      <c r="AD193" s="637">
        <f>IF(U193="RR",IF((0.0304*(W193^5)-0.2619*(W193^4)+0.9161*(W193^3)-1.6837*(W193^2)+1.7072*W193-0.0091)&gt;0.85,0.85,IF((0.0304*(W193^5)-0.2619*(W193^4)+0.9161*(W193^3)-1.6837*(W193^2)+1.7072*W193-0.0091)&lt;0,0,(0.0304*(W193^5)-0.2619*(W193^4)+0.9161*(W193^3)-1.6837*(W193^2)+1.7072*W193-0.0091))),IF((0.0239*(W193^5)-0.2058*(W193^4)+0.7198*(W193^3)-1.3229*(W193^2)+1.3414*W193-0.0072)&gt;0.65,0.65,IF((0.0239*(W193^5)-0.2058*(W193^4)+0.7198*(W193^3)-1.3229*(W193^2)+1.3414*W193-0.0072)&lt;0,0,(0.0239*(W193^5)-0.2058*(W193^4)+0.7198*(W193^3)-1.3229*(W193^2)+1.3414*W193-0.0072))))</f>
        <v>0.35915798353917622</v>
      </c>
      <c r="AE193" s="139">
        <f>R193*AD193</f>
        <v>3.2606406432268975E-2</v>
      </c>
      <c r="AF193" s="516">
        <f>MAX(Y193,AA193,AC193,AE193)</f>
        <v>6.3549985100355241E-2</v>
      </c>
      <c r="AG193" s="634">
        <f>IF(ISNA(VLOOKUP(K193,'Efficiency Lookup'!$D$2:$G$35,3,FALSE)),0,VLOOKUP(K193,'Efficiency Lookup'!$D$2:$G$35,3,FALSE))</f>
        <v>0</v>
      </c>
      <c r="AH193" s="139">
        <f>S193*AG193</f>
        <v>0</v>
      </c>
      <c r="AI193" s="649">
        <f>IF(U193="RR",IF((0.0308*(W193^5)-0.2562*(W193^4)+0.8634*(W193^3)-1.5285*(W193^2)+1.501*W193-0.013)&gt;0.7,0.7,IF((0.0308*(W193^5)-0.2562*(W193^4)+0.8634*(W193^3)-1.5285*(W193^2)+1.501*W193-0.013)&lt;0,0,(0.0308*(W193^5)-0.2562*(W193^4)+0.8634*(W193^3)-1.5285*(W193^2)+1.501*W193-0.013))),IF((0.0152*(W193^5)-0.131*(W193^4)+0.4581*(W193^3)-0.8418*(W193^2)+0.8536*W193-0.0046)&gt;0.65,0.65,IF((0.0152*(W193^5)-0.131*(W193^4)+0.4581*(W193^3)-0.8418*(W193^2)+0.8536*W193-0.0046)&lt;0,0,(0.0152*(W193^5)-0.131*(W193^4)+0.4581*(W193^3)-0.8418*(W193^2)+0.8536*W193-0.0046))))</f>
        <v>0.22853880510006624</v>
      </c>
      <c r="AJ193" s="1022">
        <f>S193*AI193</f>
        <v>0.20971401746064369</v>
      </c>
      <c r="AK193" s="416">
        <f t="shared" si="50"/>
        <v>0.20971401746064369</v>
      </c>
      <c r="AL193" s="634">
        <f>IF(ISNA(VLOOKUP(K193,'Efficiency Lookup'!$D$2:$G$35,4,FALSE)),0,VLOOKUP(K193,'Efficiency Lookup'!$D$2:$G$35,4,FALSE))</f>
        <v>0</v>
      </c>
      <c r="AM193" s="139">
        <f>T193*AL193</f>
        <v>0</v>
      </c>
      <c r="AN193" s="649">
        <f>IF(U193="RR",IF((0.0326*(W193^5)-0.2806*(W193^4)+0.9816*(W193^3)-1.8039*(W193^2)+1.8292*W193-0.0098)&gt;0.85,0.85,IF((0.0326*(W193^5)-0.2806*(W193^4)+0.9816*(W193^3)-1.8039*(W193^2)+1.8292*W193-0.0098)&lt;0,0,(0.0326*(W193^5)-0.2806*(W193^4)+0.9816*(W193^3)-1.8039*(W193^2)+1.8292*W193-0.0098))),IF((0.0304*(W193^5)-0.2619*(W193^4)+0.9161*(W193^3)-1.6837*(W193^2)+1.7072*W193-0.0091)&gt;0.8,0.8,IF((0.0304*(W193^5)-0.2619*(W193^4)+0.9161*(W193^3)-1.6837*(W193^2)+1.7072*W193-0.0091)&lt;0,0,(0.0304*(W193^5)-0.2619*(W193^4)+0.9161*(W193^3)-1.6837*(W193^2)+1.7072*W193-0.0091))))</f>
        <v>0.45715769605120332</v>
      </c>
      <c r="AO193" s="1022">
        <f>T193*AN193</f>
        <v>20.844540930444094</v>
      </c>
      <c r="AP193" s="647">
        <f>IF(AK193=AH193,AM193,AO193)</f>
        <v>20.844540930444094</v>
      </c>
      <c r="AQ193" s="789">
        <f>IF(AF193&lt;0,0,AF193)</f>
        <v>6.3549985100355241E-2</v>
      </c>
      <c r="AR193" s="789">
        <f>IF(AK193&lt;0,0,AK193)</f>
        <v>0.20971401746064369</v>
      </c>
      <c r="AS193" s="790">
        <f>IF(AP193&lt;0,0,AP193)</f>
        <v>20.844540930444094</v>
      </c>
    </row>
    <row r="194" spans="1:45" ht="30" x14ac:dyDescent="0.25">
      <c r="A194" s="261" t="s">
        <v>699</v>
      </c>
      <c r="B194" s="510">
        <v>38.032591500000002</v>
      </c>
      <c r="C194" s="510">
        <v>-78.454172499999999</v>
      </c>
      <c r="D194" s="510" t="s">
        <v>296</v>
      </c>
      <c r="E194" s="714" t="s">
        <v>701</v>
      </c>
      <c r="F194" s="669">
        <v>40757</v>
      </c>
      <c r="G194" s="510" t="s">
        <v>289</v>
      </c>
      <c r="H194" s="511" t="s">
        <v>702</v>
      </c>
      <c r="I194" s="511" t="str">
        <f t="shared" si="49"/>
        <v>Filterra</v>
      </c>
      <c r="J194" s="511" t="s">
        <v>411</v>
      </c>
      <c r="K194" s="511" t="s">
        <v>662</v>
      </c>
      <c r="L194" s="261"/>
      <c r="M194" s="671">
        <f>N194+O194+P194</f>
        <v>0.10489917901283599</v>
      </c>
      <c r="N194" s="672">
        <v>9.7553464014299998E-2</v>
      </c>
      <c r="O194" s="514">
        <v>7.3457149985360001E-3</v>
      </c>
      <c r="P194" s="514">
        <v>0</v>
      </c>
      <c r="Q194" s="673">
        <f>+N194/M194</f>
        <v>0.92997357016838866</v>
      </c>
      <c r="R194" s="674">
        <f>IF(L193="TT",(1.76*N194+0.5*O194+0.13*P194)-AF193,1.76*N194+0.5*O194+0.13*P194)</f>
        <v>0.17536695416443598</v>
      </c>
      <c r="S194" s="674">
        <f>IF(L193="TT",(M194*9.39+N194*6.99+O194*2.36)-AK193,M194*9.39+N194*6.99+O194*2.36)</f>
        <v>1.684237891787032</v>
      </c>
      <c r="T194" s="674">
        <f>IF(L193="TT",(M194*676.94+N194*101.08+O194*77.38)-AP193,M194*676.94+N194*101.08+O194*77.38)</f>
        <v>81.439565810101357</v>
      </c>
      <c r="U194" s="1022" t="s">
        <v>278</v>
      </c>
      <c r="V194" s="514">
        <f>47.2*2</f>
        <v>94.4</v>
      </c>
      <c r="W194" s="675">
        <f>IF(V194="NA", 0, (V194)*12/N194/43560)</f>
        <v>0.26657699861955936</v>
      </c>
      <c r="X194" s="634">
        <f t="shared" si="48"/>
        <v>0.5</v>
      </c>
      <c r="Y194" s="676">
        <f>IF(X194="NA",0,R194*X194)</f>
        <v>8.7683477082217992E-2</v>
      </c>
      <c r="Z194" s="640">
        <v>0.7</v>
      </c>
      <c r="AA194" s="1022">
        <f>R194*Z194</f>
        <v>0.12275686791510518</v>
      </c>
      <c r="AB194" s="635">
        <f>IF(ISNA(VLOOKUP(K194,'Efficiency Lookup'!$D$2:$E$35,2,FALSE)),0,VLOOKUP(K194,'Efficiency Lookup'!$D$2:$E$35,2,FALSE))</f>
        <v>0</v>
      </c>
      <c r="AC194" s="139">
        <f>R194*AB194</f>
        <v>0</v>
      </c>
      <c r="AD194" s="637">
        <f>IF(U194="RR",IF((0.0304*(W194^5)-0.2619*(W194^4)+0.9161*(W194^3)-1.6837*(W194^2)+1.7072*W194-0.0091)&gt;0.85,0.85,IF((0.0304*(W194^5)-0.2619*(W194^4)+0.9161*(W194^3)-1.6837*(W194^2)+1.7072*W194-0.0091)&lt;0,0,(0.0304*(W194^5)-0.2619*(W194^4)+0.9161*(W194^3)-1.6837*(W194^2)+1.7072*W194-0.0091))),IF((0.0239*(W194^5)-0.2058*(W194^4)+0.7198*(W194^3)-1.3229*(W194^2)+1.3414*W194-0.0072)&gt;0.65,0.65,IF((0.0239*(W194^5)-0.2058*(W194^4)+0.7198*(W194^3)-1.3229*(W194^2)+1.3414*W194-0.0072)&lt;0,0,(0.0239*(W194^5)-0.2058*(W194^4)+0.7198*(W194^3)-1.3229*(W194^2)+1.3414*W194-0.0072))))</f>
        <v>0.26900541369167685</v>
      </c>
      <c r="AE194" s="139">
        <f>R194*AD194</f>
        <v>4.7174660052853437E-2</v>
      </c>
      <c r="AF194" s="516">
        <f>MAX(Y194,AA194,AC194,AE194)</f>
        <v>0.12275686791510518</v>
      </c>
      <c r="AG194" s="634">
        <f>IF(ISNA(VLOOKUP(K194,'Efficiency Lookup'!$D$2:$G$35,3,FALSE)),0,VLOOKUP(K194,'Efficiency Lookup'!$D$2:$G$35,3,FALSE))</f>
        <v>0</v>
      </c>
      <c r="AH194" s="139">
        <f>S194*AG194</f>
        <v>0</v>
      </c>
      <c r="AI194" s="649">
        <f>IF(U194="RR",IF((0.0308*(W194^5)-0.2562*(W194^4)+0.8634*(W194^3)-1.5285*(W194^2)+1.501*W194-0.013)&gt;0.7,0.7,IF((0.0308*(W194^5)-0.2562*(W194^4)+0.8634*(W194^3)-1.5285*(W194^2)+1.501*W194-0.013)&lt;0,0,(0.0308*(W194^5)-0.2562*(W194^4)+0.8634*(W194^3)-1.5285*(W194^2)+1.501*W194-0.013))),IF((0.0152*(W194^5)-0.131*(W194^4)+0.4581*(W194^3)-0.8418*(W194^2)+0.8536*W194-0.0046)&gt;0.65,0.65,IF((0.0152*(W194^5)-0.131*(W194^4)+0.4581*(W194^3)-0.8418*(W194^2)+0.8536*W194-0.0046)&lt;0,0,(0.0152*(W194^5)-0.131*(W194^4)+0.4581*(W194^3)-0.8418*(W194^2)+0.8536*W194-0.0046))))</f>
        <v>0.171166129944747</v>
      </c>
      <c r="AJ194" s="1022">
        <f>S194*AI194</f>
        <v>0.28828448184348587</v>
      </c>
      <c r="AK194" s="416">
        <f t="shared" si="50"/>
        <v>0.28828448184348587</v>
      </c>
      <c r="AL194" s="634">
        <f>IF(ISNA(VLOOKUP(K194,'Efficiency Lookup'!$D$2:$G$35,4,FALSE)),0,VLOOKUP(K194,'Efficiency Lookup'!$D$2:$G$35,4,FALSE))</f>
        <v>0</v>
      </c>
      <c r="AM194" s="139">
        <f>T194*AL194</f>
        <v>0</v>
      </c>
      <c r="AN194" s="649">
        <f>IF(U194="RR",IF((0.0326*(W194^5)-0.2806*(W194^4)+0.9816*(W194^3)-1.8039*(W194^2)+1.8292*W194-0.0098)&gt;0.85,0.85,IF((0.0326*(W194^5)-0.2806*(W194^4)+0.9816*(W194^3)-1.8039*(W194^2)+1.8292*W194-0.0098)&lt;0,0,(0.0326*(W194^5)-0.2806*(W194^4)+0.9816*(W194^3)-1.8039*(W194^2)+1.8292*W194-0.0098))),IF((0.0304*(W194^5)-0.2619*(W194^4)+0.9161*(W194^3)-1.6837*(W194^2)+1.7072*W194-0.0091)&gt;0.8,0.8,IF((0.0304*(W194^5)-0.2619*(W194^4)+0.9161*(W194^3)-1.6837*(W194^2)+1.7072*W194-0.0091)&lt;0,0,(0.0304*(W194^5)-0.2619*(W194^4)+0.9161*(W194^3)-1.6837*(W194^2)+1.7072*W194-0.0091))))</f>
        <v>0.34242376417506015</v>
      </c>
      <c r="AO194" s="1022">
        <f>T194*AN194</f>
        <v>27.886842677477439</v>
      </c>
      <c r="AP194" s="647">
        <f>IF(AK194=AH194,AM194,AO194)</f>
        <v>27.886842677477439</v>
      </c>
      <c r="AQ194" s="789">
        <f>IF(AF194&lt;0,0,AF194)</f>
        <v>0.12275686791510518</v>
      </c>
      <c r="AR194" s="789">
        <f>IF(AK194&lt;0,0,AK194)</f>
        <v>0.28828448184348587</v>
      </c>
      <c r="AS194" s="790">
        <f>IF(AP194&lt;0,0,AP194)</f>
        <v>27.886842677477439</v>
      </c>
    </row>
    <row r="195" spans="1:45" ht="30" x14ac:dyDescent="0.25">
      <c r="A195" s="261" t="s">
        <v>699</v>
      </c>
      <c r="B195" s="510">
        <v>38.03304</v>
      </c>
      <c r="C195" s="510">
        <v>-78.453233999999995</v>
      </c>
      <c r="D195" s="510" t="s">
        <v>296</v>
      </c>
      <c r="E195" s="511">
        <v>350.05</v>
      </c>
      <c r="F195" s="669">
        <v>40757</v>
      </c>
      <c r="G195" s="510" t="s">
        <v>289</v>
      </c>
      <c r="H195" s="511" t="s">
        <v>700</v>
      </c>
      <c r="I195" s="511" t="str">
        <f t="shared" si="49"/>
        <v>Filterra</v>
      </c>
      <c r="J195" s="511" t="s">
        <v>411</v>
      </c>
      <c r="K195" s="511" t="s">
        <v>662</v>
      </c>
      <c r="L195" s="261"/>
      <c r="M195" s="671">
        <f>N195+O195+P195</f>
        <v>0.150043093176363</v>
      </c>
      <c r="N195" s="672">
        <v>0.14974244812099999</v>
      </c>
      <c r="O195" s="514">
        <v>3.0064505536300004E-4</v>
      </c>
      <c r="P195" s="514">
        <v>0</v>
      </c>
      <c r="Q195" s="673">
        <f>+N195/M195</f>
        <v>0.9979962752766659</v>
      </c>
      <c r="R195" s="674">
        <f>IF(L194="TT",(1.76*N195+0.5*O195+0.13*P195)-AF194,1.76*N195+0.5*O195+0.13*P195)</f>
        <v>0.26369703122064148</v>
      </c>
      <c r="S195" s="674">
        <f>IF(L194="TT",(M195*9.39+N195*6.99+O195*2.36)-AK194,M195*9.39+N195*6.99+O195*2.36)</f>
        <v>2.4563138796224955</v>
      </c>
      <c r="T195" s="674">
        <f>IF(L194="TT",(M195*676.94+N195*101.08+O195*77.38)-AP194,M195*676.94+N195*101.08+O195*77.38)</f>
        <v>116.72940206526184</v>
      </c>
      <c r="U195" s="1022" t="s">
        <v>278</v>
      </c>
      <c r="V195" s="514">
        <v>70.8</v>
      </c>
      <c r="W195" s="675">
        <f>IF(V195="NA", 0, (V195)*12/N195/43560)</f>
        <v>0.13025119113616043</v>
      </c>
      <c r="X195" s="634">
        <f t="shared" si="48"/>
        <v>0.5</v>
      </c>
      <c r="Y195" s="676">
        <f>IF(X195="NA",0,R195*X195)</f>
        <v>0.13184851561032074</v>
      </c>
      <c r="Z195" s="640">
        <v>0.7</v>
      </c>
      <c r="AA195" s="1022">
        <f>R195*Z195</f>
        <v>0.18458792185444903</v>
      </c>
      <c r="AB195" s="635">
        <f>IF(ISNA(VLOOKUP(K195,'Efficiency Lookup'!$D$2:$E$35,2,FALSE)),0,VLOOKUP(K195,'Efficiency Lookup'!$D$2:$E$35,2,FALSE))</f>
        <v>0</v>
      </c>
      <c r="AC195" s="139">
        <f>R195*AB195</f>
        <v>0</v>
      </c>
      <c r="AD195" s="637">
        <f>IF(U195="RR",IF((0.0304*(W195^5)-0.2619*(W195^4)+0.9161*(W195^3)-1.6837*(W195^2)+1.7072*W195-0.0091)&gt;0.85,0.85,IF((0.0304*(W195^5)-0.2619*(W195^4)+0.9161*(W195^3)-1.6837*(W195^2)+1.7072*W195-0.0091)&lt;0,0,(0.0304*(W195^5)-0.2619*(W195^4)+0.9161*(W195^3)-1.6837*(W195^2)+1.7072*W195-0.0091))),IF((0.0239*(W195^5)-0.2058*(W195^4)+0.7198*(W195^3)-1.3229*(W195^2)+1.3414*W195-0.0072)&gt;0.65,0.65,IF((0.0239*(W195^5)-0.2058*(W195^4)+0.7198*(W195^3)-1.3229*(W195^2)+1.3414*W195-0.0072)&lt;0,0,(0.0239*(W195^5)-0.2058*(W195^4)+0.7198*(W195^3)-1.3229*(W195^2)+1.3414*W195-0.0072))))</f>
        <v>0.14660770322472363</v>
      </c>
      <c r="AE195" s="139">
        <f>R195*AD195</f>
        <v>3.8660016094436485E-2</v>
      </c>
      <c r="AF195" s="516">
        <f>MAX(Y195,AA195,AC195,AE195)</f>
        <v>0.18458792185444903</v>
      </c>
      <c r="AG195" s="634">
        <f>IF(ISNA(VLOOKUP(K195,'Efficiency Lookup'!$D$2:$G$35,3,FALSE)),0,VLOOKUP(K195,'Efficiency Lookup'!$D$2:$G$35,3,FALSE))</f>
        <v>0</v>
      </c>
      <c r="AH195" s="139">
        <f>S195*AG195</f>
        <v>0</v>
      </c>
      <c r="AI195" s="649">
        <f>IF(U195="RR",IF((0.0308*(W195^5)-0.2562*(W195^4)+0.8634*(W195^3)-1.5285*(W195^2)+1.501*W195-0.013)&gt;0.7,0.7,IF((0.0308*(W195^5)-0.2562*(W195^4)+0.8634*(W195^3)-1.5285*(W195^2)+1.501*W195-0.013)&lt;0,0,(0.0308*(W195^5)-0.2562*(W195^4)+0.8634*(W195^3)-1.5285*(W195^2)+1.501*W195-0.013))),IF((0.0152*(W195^5)-0.131*(W195^4)+0.4581*(W195^3)-0.8418*(W195^2)+0.8536*W195-0.0046)&gt;0.65,0.65,IF((0.0152*(W195^5)-0.131*(W195^4)+0.4581*(W195^3)-0.8418*(W195^2)+0.8536*W195-0.0046)&lt;0,0,(0.0152*(W195^5)-0.131*(W195^4)+0.4581*(W195^3)-0.8418*(W195^2)+0.8536*W195-0.0046))))</f>
        <v>9.3276121911159249E-2</v>
      </c>
      <c r="AJ195" s="1022">
        <f>S195*AI195</f>
        <v>0.22911543288774044</v>
      </c>
      <c r="AK195" s="416">
        <f t="shared" si="50"/>
        <v>0.22911543288774044</v>
      </c>
      <c r="AL195" s="634">
        <f>IF(ISNA(VLOOKUP(K195,'Efficiency Lookup'!$D$2:$G$35,4,FALSE)),0,VLOOKUP(K195,'Efficiency Lookup'!$D$2:$G$35,4,FALSE))</f>
        <v>0</v>
      </c>
      <c r="AM195" s="139">
        <f>T195*AL195</f>
        <v>0</v>
      </c>
      <c r="AN195" s="649">
        <f>IF(U195="RR",IF((0.0326*(W195^5)-0.2806*(W195^4)+0.9816*(W195^3)-1.8039*(W195^2)+1.8292*W195-0.0098)&gt;0.85,0.85,IF((0.0326*(W195^5)-0.2806*(W195^4)+0.9816*(W195^3)-1.8039*(W195^2)+1.8292*W195-0.0098)&lt;0,0,(0.0326*(W195^5)-0.2806*(W195^4)+0.9816*(W195^3)-1.8039*(W195^2)+1.8292*W195-0.0098))),IF((0.0304*(W195^5)-0.2619*(W195^4)+0.9161*(W195^3)-1.6837*(W195^2)+1.7072*W195-0.0091)&gt;0.8,0.8,IF((0.0304*(W195^5)-0.2619*(W195^4)+0.9161*(W195^3)-1.6837*(W195^2)+1.7072*W195-0.0091)&lt;0,0,(0.0304*(W195^5)-0.2619*(W195^4)+0.9161*(W195^3)-1.6837*(W195^2)+1.7072*W195-0.0091))))</f>
        <v>0.18665035509142525</v>
      </c>
      <c r="AO195" s="1022">
        <f>T195*AN195</f>
        <v>21.78758434509087</v>
      </c>
      <c r="AP195" s="647">
        <f>IF(AK195=AH195,AM195,AO195)</f>
        <v>21.78758434509087</v>
      </c>
      <c r="AQ195" s="789">
        <f>IF(AF195&lt;0,0,AF195)</f>
        <v>0.18458792185444903</v>
      </c>
      <c r="AR195" s="789">
        <f>IF(AK195&lt;0,0,AK195)</f>
        <v>0.22911543288774044</v>
      </c>
      <c r="AS195" s="790">
        <f>IF(AP195&lt;0,0,AP195)</f>
        <v>21.78758434509087</v>
      </c>
    </row>
    <row r="196" spans="1:45" x14ac:dyDescent="0.25">
      <c r="A196" s="261"/>
      <c r="B196" s="510" t="s">
        <v>297</v>
      </c>
      <c r="C196" s="510" t="s">
        <v>297</v>
      </c>
      <c r="D196" s="510" t="s">
        <v>297</v>
      </c>
      <c r="E196" s="511"/>
      <c r="F196" s="705"/>
      <c r="G196" s="510"/>
      <c r="H196" s="511"/>
      <c r="I196" s="261" t="str">
        <f t="shared" si="49"/>
        <v/>
      </c>
      <c r="J196" s="511"/>
      <c r="K196" s="511"/>
      <c r="L196" s="510"/>
      <c r="M196" s="510"/>
      <c r="N196" s="672"/>
      <c r="O196" s="514"/>
      <c r="P196" s="514" t="s">
        <v>297</v>
      </c>
      <c r="Q196" s="688"/>
      <c r="R196" s="674"/>
      <c r="S196" s="674"/>
      <c r="T196" s="674"/>
      <c r="U196" s="1022"/>
      <c r="V196" s="514"/>
      <c r="W196" s="675"/>
      <c r="X196" s="636" t="str">
        <f t="shared" si="48"/>
        <v/>
      </c>
      <c r="Y196" s="706"/>
      <c r="Z196" s="640"/>
      <c r="AA196" s="1022"/>
      <c r="AB196" s="637"/>
      <c r="AC196" s="637"/>
      <c r="AD196" s="637"/>
      <c r="AE196" s="139"/>
      <c r="AF196" s="642"/>
      <c r="AG196" s="583"/>
      <c r="AH196" s="139"/>
      <c r="AI196" s="637"/>
      <c r="AJ196" s="139"/>
      <c r="AK196" s="416" t="str">
        <f t="shared" si="50"/>
        <v/>
      </c>
      <c r="AL196" s="642"/>
      <c r="AM196" s="637"/>
      <c r="AN196" s="637"/>
      <c r="AO196" s="139"/>
      <c r="AP196" s="647"/>
      <c r="AQ196" s="789"/>
      <c r="AR196" s="789"/>
      <c r="AS196" s="790"/>
    </row>
    <row r="197" spans="1:45" x14ac:dyDescent="0.25">
      <c r="A197" s="628"/>
      <c r="B197" s="668" t="s">
        <v>297</v>
      </c>
      <c r="C197" s="668" t="s">
        <v>297</v>
      </c>
      <c r="D197" s="668" t="s">
        <v>297</v>
      </c>
      <c r="E197" s="710"/>
      <c r="F197" s="711"/>
      <c r="G197" s="668"/>
      <c r="H197" s="712"/>
      <c r="I197" s="712" t="str">
        <f t="shared" si="49"/>
        <v/>
      </c>
      <c r="J197" s="712"/>
      <c r="K197" s="712"/>
      <c r="L197" s="712"/>
      <c r="M197" s="712"/>
      <c r="N197" s="712"/>
      <c r="O197" s="712"/>
      <c r="P197" s="712"/>
      <c r="Q197" s="712"/>
      <c r="R197" s="712"/>
      <c r="S197" s="712"/>
      <c r="T197" s="712"/>
      <c r="U197" s="712"/>
      <c r="V197" s="712"/>
      <c r="W197" s="712"/>
      <c r="X197" s="760" t="str">
        <f t="shared" si="48"/>
        <v/>
      </c>
      <c r="Y197" s="713"/>
      <c r="Z197" s="712"/>
      <c r="AA197" s="712"/>
      <c r="AB197" s="638"/>
      <c r="AC197" s="638"/>
      <c r="AD197" s="638"/>
      <c r="AE197" s="629"/>
      <c r="AF197" s="666"/>
      <c r="AG197" s="666"/>
      <c r="AH197" s="629"/>
      <c r="AI197" s="638"/>
      <c r="AJ197" s="629"/>
      <c r="AK197" s="639" t="str">
        <f t="shared" si="50"/>
        <v/>
      </c>
      <c r="AL197" s="644"/>
      <c r="AM197" s="638"/>
      <c r="AN197" s="638"/>
      <c r="AO197" s="629"/>
      <c r="AP197" s="648"/>
      <c r="AQ197" s="791"/>
      <c r="AR197" s="791"/>
      <c r="AS197" s="792"/>
    </row>
    <row r="198" spans="1:45" ht="14.45" customHeight="1" x14ac:dyDescent="0.25">
      <c r="A198" s="261"/>
      <c r="B198" s="510" t="s">
        <v>297</v>
      </c>
      <c r="C198" s="510" t="s">
        <v>297</v>
      </c>
      <c r="D198" s="510" t="s">
        <v>297</v>
      </c>
      <c r="E198" s="704"/>
      <c r="F198" s="705"/>
      <c r="G198" s="510"/>
      <c r="H198" s="511"/>
      <c r="I198" s="261" t="str">
        <f t="shared" si="49"/>
        <v/>
      </c>
      <c r="J198" s="511"/>
      <c r="K198" s="511"/>
      <c r="L198" s="510"/>
      <c r="M198" s="510"/>
      <c r="N198" s="672"/>
      <c r="O198" s="514"/>
      <c r="P198" s="514" t="s">
        <v>297</v>
      </c>
      <c r="Q198" s="688"/>
      <c r="R198" s="674"/>
      <c r="S198" s="674"/>
      <c r="T198" s="674"/>
      <c r="U198" s="1022"/>
      <c r="V198" s="514"/>
      <c r="W198" s="675"/>
      <c r="X198" s="636" t="str">
        <f t="shared" si="48"/>
        <v/>
      </c>
      <c r="Y198" s="706"/>
      <c r="Z198" s="640"/>
      <c r="AA198" s="1022"/>
      <c r="AB198" s="637"/>
      <c r="AC198" s="637"/>
      <c r="AD198" s="637"/>
      <c r="AE198" s="139"/>
      <c r="AF198" s="642"/>
      <c r="AG198" s="583"/>
      <c r="AH198" s="139"/>
      <c r="AI198" s="637"/>
      <c r="AJ198" s="139"/>
      <c r="AK198" s="416" t="str">
        <f t="shared" ref="AK198:AK261" si="70">IF(AJ198="","",IF(OR(AF198=Y198,AF198=AA198),MAX(AH198,AJ198),IF(AF198=AC198,AH198,IF(AF198=AE198,AJ198))))</f>
        <v/>
      </c>
      <c r="AL198" s="642"/>
      <c r="AM198" s="637"/>
      <c r="AN198" s="637"/>
      <c r="AO198" s="139"/>
      <c r="AP198" s="647"/>
      <c r="AQ198" s="789"/>
      <c r="AR198" s="789"/>
      <c r="AS198" s="790"/>
    </row>
    <row r="199" spans="1:45" ht="30" x14ac:dyDescent="0.25">
      <c r="A199" s="261" t="s">
        <v>703</v>
      </c>
      <c r="B199" s="510">
        <v>38.027639999999998</v>
      </c>
      <c r="C199" s="510">
        <v>-78.434512999999995</v>
      </c>
      <c r="D199" s="510" t="s">
        <v>296</v>
      </c>
      <c r="E199" s="511">
        <v>125.01</v>
      </c>
      <c r="F199" s="669">
        <v>40021</v>
      </c>
      <c r="G199" s="510" t="s">
        <v>274</v>
      </c>
      <c r="H199" s="670"/>
      <c r="I199" s="511"/>
      <c r="J199" s="511" t="s">
        <v>530</v>
      </c>
      <c r="K199" s="511" t="s">
        <v>277</v>
      </c>
      <c r="L199" s="671"/>
      <c r="M199" s="671">
        <f>N199+O199+P199</f>
        <v>66.802694779641882</v>
      </c>
      <c r="N199" s="672">
        <v>11.536754324101526</v>
      </c>
      <c r="O199" s="514">
        <v>26.617053009228446</v>
      </c>
      <c r="P199" s="514">
        <v>28.648887446311903</v>
      </c>
      <c r="Q199" s="673">
        <f>+N199/M199</f>
        <v>0.17269893620545007</v>
      </c>
      <c r="R199" s="674">
        <f>IF(L198="TT",(1.76*N199+0.5*O199+0.13*P199)-AF198,1.76*N199+0.5*O199+0.13*P199)</f>
        <v>37.337569483053457</v>
      </c>
      <c r="S199" s="674">
        <f>IF(L198="TT",(M199*9.39+N199*6.99+O199*2.36)-AK198,M199*9.39+N199*6.99+O199*2.36)</f>
        <v>770.73546180808614</v>
      </c>
      <c r="T199" s="674">
        <f>IF(L198="TT",(M199*676.94+N199*101.08+O199*77.38)-AP198,M199*676.94+N199*101.08+O199*77.38)</f>
        <v>48447.178893065058</v>
      </c>
      <c r="U199" s="1022" t="s">
        <v>278</v>
      </c>
      <c r="V199" s="514">
        <v>95419</v>
      </c>
      <c r="W199" s="675">
        <f>IF(V199="NA", 0, (V199)*12/N199/43560)</f>
        <v>2.2784766977660293</v>
      </c>
      <c r="X199" s="634" t="str">
        <f t="shared" si="48"/>
        <v>NA</v>
      </c>
      <c r="Y199" s="676">
        <f>IF(X199="NA",0,R199*X199)</f>
        <v>0</v>
      </c>
      <c r="Z199" s="635">
        <f>IF(ISNA(VLOOKUP(J199,'Efficiency Lookup'!$B$2:$C$38,2,FALSE)),0,(VLOOKUP(J199,'Efficiency Lookup'!$B$2:$C$38,2,FALSE)))</f>
        <v>0.4</v>
      </c>
      <c r="AA199" s="139">
        <f>R199*Z199</f>
        <v>14.935027793221384</v>
      </c>
      <c r="AB199" s="635">
        <f>IF(ISNA(VLOOKUP(K199,'Efficiency Lookup'!$D$2:$E$35,2,FALSE)),0,VLOOKUP(K199,'Efficiency Lookup'!$D$2:$E$35,2,FALSE))</f>
        <v>0.45</v>
      </c>
      <c r="AC199" s="139">
        <f>R199*AB199</f>
        <v>16.801906267374058</v>
      </c>
      <c r="AD199" s="521">
        <f>IF(U199="RR",IF((0.0304*(W199^5)-0.2619*(W199^4)+0.9161*(W199^3)-1.6837*(W199^2)+1.7072*W199-0.0091)&gt;0.85,0.85,IF((0.0304*(W199^5)-0.2619*(W199^4)+0.9161*(W199^3)-1.6837*(W199^2)+1.7072*W199-0.0091)&lt;0,0,(0.0304*(W199^5)-0.2619*(W199^4)+0.9161*(W199^3)-1.6837*(W199^2)+1.7072*W199-0.0091))),IF((0.0239*(W199^5)-0.2058*(W199^4)+0.7198*(W199^3)-1.3229*(W199^2)+1.3414*W199-0.0072)&gt;0.65,0.65,IF((0.0239*(W199^5)-0.2058*(W199^4)+0.7198*(W199^3)-1.3229*(W199^2)+1.3414*W199-0.0072)&lt;0,0,(0.0239*(W199^5)-0.2058*(W199^4)+0.7198*(W199^3)-1.3229*(W199^2)+1.3414*W199-0.0072))))</f>
        <v>0.61669028592166797</v>
      </c>
      <c r="AE199" s="1005">
        <f>R199*AD199</f>
        <v>23.025716400124381</v>
      </c>
      <c r="AF199" s="516">
        <f>MAX(Y199,AA199,AC199,AE199)</f>
        <v>23.025716400124381</v>
      </c>
      <c r="AG199" s="634">
        <f>IF(ISNA(VLOOKUP(K199,'Efficiency Lookup'!$D$2:$G$35,3,FALSE)),0,VLOOKUP(K199,'Efficiency Lookup'!$D$2:$G$35,3,FALSE))</f>
        <v>0.2</v>
      </c>
      <c r="AH199" s="139">
        <f>S199*AG199</f>
        <v>154.14709236161724</v>
      </c>
      <c r="AI199" s="521">
        <f>IF(U199="RR",IF((0.0308*(W199^5)-0.2562*(W199^4)+0.8634*(W199^3)-1.5285*(W199^2)+1.501*W199-0.013)&gt;0.7,0.7,IF((0.0308*(W199^5)-0.2562*(W199^4)+0.8634*(W199^3)-1.5285*(W199^2)+1.501*W199-0.013)&lt;0,0,(0.0308*(W199^5)-0.2562*(W199^4)+0.8634*(W199^3)-1.5285*(W199^2)+1.501*W199-0.013))),IF((0.0152*(W199^5)-0.131*(W199^4)+0.4581*(W199^3)-0.8418*(W199^2)+0.8536*W199-0.0046)&gt;0.65,0.65,IF((0.0152*(W199^5)-0.131*(W199^4)+0.4581*(W199^3)-0.8418*(W199^2)+0.8536*W199-0.0046)&lt;0,0,(0.0152*(W199^5)-0.131*(W199^4)+0.4581*(W199^3)-0.8418*(W199^2)+0.8536*W199-0.0046))))</f>
        <v>0.3916150074348676</v>
      </c>
      <c r="AJ199" s="1005">
        <f>S199*AI199</f>
        <v>301.83157360628979</v>
      </c>
      <c r="AK199" s="416">
        <f t="shared" si="70"/>
        <v>301.83157360628979</v>
      </c>
      <c r="AL199" s="634">
        <f>IF(ISNA(VLOOKUP(K199,'Efficiency Lookup'!$D$2:$G$35,4,FALSE)),0,VLOOKUP(K199,'Efficiency Lookup'!$D$2:$G$35,4,FALSE))</f>
        <v>0.6</v>
      </c>
      <c r="AM199" s="139">
        <f>T199*AL199</f>
        <v>29068.307335839036</v>
      </c>
      <c r="AN199" s="521">
        <f>IF(U199="RR",IF((0.0326*(W199^5)-0.2806*(W199^4)+0.9816*(W199^3)-1.8039*(W199^2)+1.8292*W199-0.0098)&gt;0.85,0.85,IF((0.0326*(W199^5)-0.2806*(W199^4)+0.9816*(W199^3)-1.8039*(W199^2)+1.8292*W199-0.0098)&lt;0,0,(0.0326*(W199^5)-0.2806*(W199^4)+0.9816*(W199^3)-1.8039*(W199^2)+1.8292*W199-0.0098))),IF((0.0304*(W199^5)-0.2619*(W199^4)+0.9161*(W199^3)-1.6837*(W199^2)+1.7072*W199-0.0091)&gt;0.8,0.8,IF((0.0304*(W199^5)-0.2619*(W199^4)+0.9161*(W199^3)-1.6837*(W199^2)+1.7072*W199-0.0091)&lt;0,0,(0.0304*(W199^5)-0.2619*(W199^4)+0.9161*(W199^3)-1.6837*(W199^2)+1.7072*W199-0.0091))))</f>
        <v>0.78432312970161544</v>
      </c>
      <c r="AO199" s="1005">
        <f>T199*AN199</f>
        <v>37998.24297462283</v>
      </c>
      <c r="AP199" s="647">
        <f>IF(AK199=AH199,AM199,AO199)</f>
        <v>37998.24297462283</v>
      </c>
      <c r="AQ199" s="789">
        <f>IF(AF199&lt;0,0,AF199)</f>
        <v>23.025716400124381</v>
      </c>
      <c r="AR199" s="789">
        <f>IF(AK199&lt;0,0,AK199)</f>
        <v>301.83157360628979</v>
      </c>
      <c r="AS199" s="790">
        <f>IF(AP199&lt;0,0,AP199)</f>
        <v>37998.24297462283</v>
      </c>
    </row>
    <row r="200" spans="1:45" x14ac:dyDescent="0.25">
      <c r="A200" s="261"/>
      <c r="B200" s="510" t="s">
        <v>297</v>
      </c>
      <c r="C200" s="510" t="s">
        <v>297</v>
      </c>
      <c r="D200" s="510" t="s">
        <v>297</v>
      </c>
      <c r="E200" s="511"/>
      <c r="F200" s="705"/>
      <c r="G200" s="510"/>
      <c r="H200" s="511"/>
      <c r="I200" s="261" t="str">
        <f t="shared" si="49"/>
        <v/>
      </c>
      <c r="J200" s="511"/>
      <c r="K200" s="511"/>
      <c r="L200" s="510"/>
      <c r="M200" s="510"/>
      <c r="N200" s="672"/>
      <c r="O200" s="514"/>
      <c r="P200" s="514" t="s">
        <v>297</v>
      </c>
      <c r="Q200" s="688"/>
      <c r="R200" s="674"/>
      <c r="S200" s="674"/>
      <c r="T200" s="674"/>
      <c r="U200" s="1022"/>
      <c r="V200" s="514"/>
      <c r="W200" s="675"/>
      <c r="X200" s="636" t="str">
        <f t="shared" si="48"/>
        <v/>
      </c>
      <c r="Y200" s="706"/>
      <c r="Z200" s="640"/>
      <c r="AA200" s="1022"/>
      <c r="AB200" s="637"/>
      <c r="AC200" s="637"/>
      <c r="AD200" s="637"/>
      <c r="AE200" s="139"/>
      <c r="AF200" s="642"/>
      <c r="AG200" s="583"/>
      <c r="AH200" s="139"/>
      <c r="AI200" s="637"/>
      <c r="AJ200" s="139"/>
      <c r="AK200" s="416" t="str">
        <f t="shared" si="70"/>
        <v/>
      </c>
      <c r="AL200" s="642"/>
      <c r="AM200" s="637"/>
      <c r="AN200" s="637"/>
      <c r="AO200" s="139"/>
      <c r="AP200" s="647"/>
      <c r="AQ200" s="789"/>
      <c r="AR200" s="789"/>
      <c r="AS200" s="790"/>
    </row>
    <row r="201" spans="1:45" x14ac:dyDescent="0.25">
      <c r="A201" s="628"/>
      <c r="B201" s="668" t="s">
        <v>297</v>
      </c>
      <c r="C201" s="668" t="s">
        <v>297</v>
      </c>
      <c r="D201" s="668" t="s">
        <v>297</v>
      </c>
      <c r="E201" s="710"/>
      <c r="F201" s="711"/>
      <c r="G201" s="668"/>
      <c r="H201" s="712"/>
      <c r="I201" s="712" t="str">
        <f t="shared" si="49"/>
        <v/>
      </c>
      <c r="J201" s="712"/>
      <c r="K201" s="712"/>
      <c r="L201" s="712"/>
      <c r="M201" s="712"/>
      <c r="N201" s="712"/>
      <c r="O201" s="712"/>
      <c r="P201" s="712"/>
      <c r="Q201" s="712"/>
      <c r="R201" s="712"/>
      <c r="S201" s="712"/>
      <c r="T201" s="712"/>
      <c r="U201" s="712"/>
      <c r="V201" s="712"/>
      <c r="W201" s="712"/>
      <c r="X201" s="760" t="str">
        <f t="shared" si="48"/>
        <v/>
      </c>
      <c r="Y201" s="713"/>
      <c r="Z201" s="712"/>
      <c r="AA201" s="712"/>
      <c r="AB201" s="638"/>
      <c r="AC201" s="638"/>
      <c r="AD201" s="638"/>
      <c r="AE201" s="629"/>
      <c r="AF201" s="666"/>
      <c r="AG201" s="666"/>
      <c r="AH201" s="629"/>
      <c r="AI201" s="638"/>
      <c r="AJ201" s="629"/>
      <c r="AK201" s="639" t="str">
        <f t="shared" si="70"/>
        <v/>
      </c>
      <c r="AL201" s="644"/>
      <c r="AM201" s="638"/>
      <c r="AN201" s="638"/>
      <c r="AO201" s="629"/>
      <c r="AP201" s="648"/>
      <c r="AQ201" s="791"/>
      <c r="AR201" s="791"/>
      <c r="AS201" s="792"/>
    </row>
    <row r="202" spans="1:45" ht="14.45" customHeight="1" x14ac:dyDescent="0.25">
      <c r="A202" s="261"/>
      <c r="B202" s="510" t="s">
        <v>297</v>
      </c>
      <c r="C202" s="510" t="s">
        <v>297</v>
      </c>
      <c r="D202" s="510" t="s">
        <v>297</v>
      </c>
      <c r="E202" s="704"/>
      <c r="F202" s="705"/>
      <c r="G202" s="510"/>
      <c r="H202" s="511"/>
      <c r="I202" s="261" t="str">
        <f t="shared" si="49"/>
        <v/>
      </c>
      <c r="J202" s="511"/>
      <c r="K202" s="511"/>
      <c r="L202" s="510"/>
      <c r="M202" s="510"/>
      <c r="N202" s="672"/>
      <c r="O202" s="514"/>
      <c r="P202" s="514" t="s">
        <v>297</v>
      </c>
      <c r="Q202" s="688"/>
      <c r="R202" s="674"/>
      <c r="S202" s="674"/>
      <c r="T202" s="674"/>
      <c r="U202" s="1022"/>
      <c r="V202" s="514"/>
      <c r="W202" s="675"/>
      <c r="X202" s="636" t="str">
        <f t="shared" si="48"/>
        <v/>
      </c>
      <c r="Y202" s="706"/>
      <c r="Z202" s="640"/>
      <c r="AA202" s="1022"/>
      <c r="AB202" s="637"/>
      <c r="AC202" s="637"/>
      <c r="AD202" s="637"/>
      <c r="AE202" s="139"/>
      <c r="AF202" s="642"/>
      <c r="AG202" s="583"/>
      <c r="AH202" s="139"/>
      <c r="AI202" s="637"/>
      <c r="AJ202" s="139"/>
      <c r="AK202" s="416" t="str">
        <f t="shared" si="70"/>
        <v/>
      </c>
      <c r="AL202" s="642"/>
      <c r="AM202" s="637"/>
      <c r="AN202" s="637"/>
      <c r="AO202" s="139"/>
      <c r="AP202" s="647"/>
      <c r="AQ202" s="789"/>
      <c r="AR202" s="789"/>
      <c r="AS202" s="790"/>
    </row>
    <row r="203" spans="1:45" ht="30" x14ac:dyDescent="0.25">
      <c r="A203" s="261" t="s">
        <v>704</v>
      </c>
      <c r="B203" s="510">
        <v>38.034512999999997</v>
      </c>
      <c r="C203" s="510">
        <v>-78.443287999999995</v>
      </c>
      <c r="D203" s="510" t="s">
        <v>296</v>
      </c>
      <c r="E203" s="714" t="s">
        <v>705</v>
      </c>
      <c r="F203" s="715">
        <v>41253</v>
      </c>
      <c r="G203" s="510" t="s">
        <v>289</v>
      </c>
      <c r="H203" s="511" t="s">
        <v>702</v>
      </c>
      <c r="I203" s="511" t="str">
        <f t="shared" si="49"/>
        <v>Filterra</v>
      </c>
      <c r="J203" s="511" t="s">
        <v>411</v>
      </c>
      <c r="K203" s="511" t="s">
        <v>662</v>
      </c>
      <c r="L203" s="261"/>
      <c r="M203" s="671">
        <f>N203+O203+P203</f>
        <v>1.0898072479866001</v>
      </c>
      <c r="N203" s="672">
        <v>0.62189500450199997</v>
      </c>
      <c r="O203" s="514">
        <v>0.46791224348460003</v>
      </c>
      <c r="P203" s="514">
        <v>0</v>
      </c>
      <c r="Q203" s="673">
        <f>+N203/M203</f>
        <v>0.5706467869900298</v>
      </c>
      <c r="R203" s="674">
        <f>IF(L202="TT",(1.76*N203+0.5*O203+0.13*P203)-AF202,1.76*N203+0.5*O203+0.13*P203)</f>
        <v>1.3284913296658201</v>
      </c>
      <c r="S203" s="674">
        <f>IF(L202="TT",(M203*9.39+N203*6.99+O203*2.36)-AK202,M203*9.39+N203*6.99+O203*2.36)</f>
        <v>15.684609034686812</v>
      </c>
      <c r="T203" s="674">
        <f>IF(L202="TT",(M203*676.94+N203*101.08+O203*77.38)-AP202,M203*676.94+N203*101.08+O203*77.38)</f>
        <v>836.80231490794972</v>
      </c>
      <c r="U203" s="1022" t="s">
        <v>278</v>
      </c>
      <c r="V203" s="514">
        <f>47*2</f>
        <v>94</v>
      </c>
      <c r="W203" s="675">
        <f>IF(V203="NA", 0, (V203)*12/N203/43560)</f>
        <v>4.163937098215497E-2</v>
      </c>
      <c r="X203" s="636">
        <f t="shared" si="48"/>
        <v>0.5</v>
      </c>
      <c r="Y203" s="706">
        <f>IF(X203="NA",0,R203*X203)</f>
        <v>0.66424566483291003</v>
      </c>
      <c r="Z203" s="635">
        <f>IF(ISNA(VLOOKUP(J203,'Efficiency Lookup'!$B$2:$C$38,2,FALSE)),0,(VLOOKUP(J203,'Efficiency Lookup'!$B$2:$C$38,2,FALSE)))</f>
        <v>0</v>
      </c>
      <c r="AA203" s="139">
        <f>R203*Z203</f>
        <v>0</v>
      </c>
      <c r="AB203" s="635">
        <f>IF(ISNA(VLOOKUP(K203,'Efficiency Lookup'!$D$2:$E$35,2,FALSE)),0,VLOOKUP(K203,'Efficiency Lookup'!$D$2:$E$35,2,FALSE))</f>
        <v>0</v>
      </c>
      <c r="AC203" s="139">
        <f>R203*AB203</f>
        <v>0</v>
      </c>
      <c r="AD203" s="637">
        <f>IF(U203="RR",IF((0.0304*(W203^5)-0.2619*(W203^4)+0.9161*(W203^3)-1.6837*(W203^2)+1.7072*W203-0.0091)&gt;0.85,0.85,IF((0.0304*(W203^5)-0.2619*(W203^4)+0.9161*(W203^3)-1.6837*(W203^2)+1.7072*W203-0.0091)&lt;0,0,(0.0304*(W203^5)-0.2619*(W203^4)+0.9161*(W203^3)-1.6837*(W203^2)+1.7072*W203-0.0091))),IF((0.0239*(W203^5)-0.2058*(W203^4)+0.7198*(W203^3)-1.3229*(W203^2)+1.3414*W203-0.0072)&gt;0.65,0.65,IF((0.0239*(W203^5)-0.2058*(W203^4)+0.7198*(W203^3)-1.3229*(W203^2)+1.3414*W203-0.0072)&lt;0,0,(0.0239*(W203^5)-0.2058*(W203^4)+0.7198*(W203^3)-1.3229*(W203^2)+1.3414*W203-0.0072))))</f>
        <v>4.6412709902568898E-2</v>
      </c>
      <c r="AE203" s="139">
        <f>R203*AD203</f>
        <v>6.1658882691857729E-2</v>
      </c>
      <c r="AF203" s="516">
        <f>MAX(Y203,AA203,AC203,AE203)</f>
        <v>0.66424566483291003</v>
      </c>
      <c r="AG203" s="634">
        <f>IF(ISNA(VLOOKUP(K203,'Efficiency Lookup'!$D$2:$G$35,3,FALSE)),0,VLOOKUP(K203,'Efficiency Lookup'!$D$2:$G$35,3,FALSE))</f>
        <v>0</v>
      </c>
      <c r="AH203" s="139">
        <f>S203*AG203</f>
        <v>0</v>
      </c>
      <c r="AI203" s="649">
        <f>IF(U203="RR",IF((0.0308*(W203^5)-0.2562*(W203^4)+0.8634*(W203^3)-1.5285*(W203^2)+1.501*W203-0.013)&gt;0.7,0.7,IF((0.0308*(W203^5)-0.2562*(W203^4)+0.8634*(W203^3)-1.5285*(W203^2)+1.501*W203-0.013)&lt;0,0,(0.0308*(W203^5)-0.2562*(W203^4)+0.8634*(W203^3)-1.5285*(W203^2)+1.501*W203-0.013))),IF((0.0152*(W203^5)-0.131*(W203^4)+0.4581*(W203^3)-0.8418*(W203^2)+0.8536*W203-0.0046)&gt;0.65,0.65,IF((0.0152*(W203^5)-0.131*(W203^4)+0.4581*(W203^3)-0.8418*(W203^2)+0.8536*W203-0.0046)&lt;0,0,(0.0152*(W203^5)-0.131*(W203^4)+0.4581*(W203^3)-0.8418*(W203^2)+0.8536*W203-0.0046))))</f>
        <v>2.9516503931395009E-2</v>
      </c>
      <c r="AJ203" s="1022">
        <f>S203*AI203</f>
        <v>0.46295482423472695</v>
      </c>
      <c r="AK203" s="416">
        <f t="shared" si="70"/>
        <v>0.46295482423472695</v>
      </c>
      <c r="AL203" s="634">
        <f>IF(ISNA(VLOOKUP(K203,'Efficiency Lookup'!$D$2:$G$35,4,FALSE)),0,VLOOKUP(K203,'Efficiency Lookup'!$D$2:$G$35,4,FALSE))</f>
        <v>0</v>
      </c>
      <c r="AM203" s="139">
        <f>T203*AL203</f>
        <v>0</v>
      </c>
      <c r="AN203" s="649">
        <f>IF(U203="RR",IF((0.0326*(W203^5)-0.2806*(W203^4)+0.9816*(W203^3)-1.8039*(W203^2)+1.8292*W203-0.0098)&gt;0.85,0.85,IF((0.0326*(W203^5)-0.2806*(W203^4)+0.9816*(W203^3)-1.8039*(W203^2)+1.8292*W203-0.0098)&lt;0,0,(0.0326*(W203^5)-0.2806*(W203^4)+0.9816*(W203^3)-1.8039*(W203^2)+1.8292*W203-0.0098))),IF((0.0304*(W203^5)-0.2619*(W203^4)+0.9161*(W203^3)-1.6837*(W203^2)+1.7072*W203-0.0091)&gt;0.8,0.8,IF((0.0304*(W203^5)-0.2619*(W203^4)+0.9161*(W203^3)-1.6837*(W203^2)+1.7072*W203-0.0091)&lt;0,0,(0.0304*(W203^5)-0.2619*(W203^4)+0.9161*(W203^3)-1.6837*(W203^2)+1.7072*W203-0.0091))))</f>
        <v>5.913282756009848E-2</v>
      </c>
      <c r="AO203" s="1022">
        <f>T203*AN203</f>
        <v>49.482486989343016</v>
      </c>
      <c r="AP203" s="647">
        <f>IF(AK203=AH203,AM203,AO203)</f>
        <v>49.482486989343016</v>
      </c>
      <c r="AQ203" s="789">
        <f>IF(AF203&lt;0,0,AF203)</f>
        <v>0.66424566483291003</v>
      </c>
      <c r="AR203" s="789">
        <f>IF(AK203&lt;0,0,AK203)</f>
        <v>0.46295482423472695</v>
      </c>
      <c r="AS203" s="790">
        <f>IF(AP203&lt;0,0,AP203)</f>
        <v>49.482486989343016</v>
      </c>
    </row>
    <row r="204" spans="1:45" x14ac:dyDescent="0.25">
      <c r="A204" s="261"/>
      <c r="B204" s="510" t="s">
        <v>297</v>
      </c>
      <c r="C204" s="510" t="s">
        <v>297</v>
      </c>
      <c r="D204" s="510" t="s">
        <v>297</v>
      </c>
      <c r="E204" s="511"/>
      <c r="F204" s="705"/>
      <c r="G204" s="510"/>
      <c r="H204" s="511"/>
      <c r="I204" s="261" t="str">
        <f t="shared" si="49"/>
        <v/>
      </c>
      <c r="J204" s="511"/>
      <c r="K204" s="511"/>
      <c r="L204" s="510"/>
      <c r="M204" s="510"/>
      <c r="N204" s="672"/>
      <c r="O204" s="514"/>
      <c r="P204" s="514" t="s">
        <v>297</v>
      </c>
      <c r="Q204" s="688"/>
      <c r="R204" s="674"/>
      <c r="S204" s="674"/>
      <c r="T204" s="674"/>
      <c r="U204" s="1022"/>
      <c r="V204" s="514"/>
      <c r="W204" s="675"/>
      <c r="X204" s="636" t="str">
        <f t="shared" si="48"/>
        <v/>
      </c>
      <c r="Y204" s="706"/>
      <c r="Z204" s="640"/>
      <c r="AA204" s="1022"/>
      <c r="AB204" s="637"/>
      <c r="AC204" s="637"/>
      <c r="AD204" s="637"/>
      <c r="AE204" s="139"/>
      <c r="AF204" s="642"/>
      <c r="AG204" s="583"/>
      <c r="AH204" s="139"/>
      <c r="AI204" s="637"/>
      <c r="AJ204" s="139"/>
      <c r="AK204" s="416" t="str">
        <f t="shared" si="70"/>
        <v/>
      </c>
      <c r="AL204" s="642"/>
      <c r="AM204" s="637"/>
      <c r="AN204" s="637"/>
      <c r="AO204" s="139"/>
      <c r="AP204" s="647"/>
      <c r="AQ204" s="789"/>
      <c r="AR204" s="789"/>
      <c r="AS204" s="790"/>
    </row>
    <row r="205" spans="1:45" x14ac:dyDescent="0.25">
      <c r="A205" s="628"/>
      <c r="B205" s="668" t="s">
        <v>297</v>
      </c>
      <c r="C205" s="668" t="s">
        <v>297</v>
      </c>
      <c r="D205" s="668" t="s">
        <v>297</v>
      </c>
      <c r="E205" s="710"/>
      <c r="F205" s="711"/>
      <c r="G205" s="668"/>
      <c r="H205" s="712"/>
      <c r="I205" s="712" t="str">
        <f t="shared" si="49"/>
        <v/>
      </c>
      <c r="J205" s="712"/>
      <c r="K205" s="712"/>
      <c r="L205" s="712"/>
      <c r="M205" s="712"/>
      <c r="N205" s="712"/>
      <c r="O205" s="712"/>
      <c r="P205" s="712"/>
      <c r="Q205" s="712"/>
      <c r="R205" s="712"/>
      <c r="S205" s="712"/>
      <c r="T205" s="712"/>
      <c r="U205" s="712"/>
      <c r="V205" s="712"/>
      <c r="W205" s="712"/>
      <c r="X205" s="760" t="str">
        <f t="shared" si="48"/>
        <v/>
      </c>
      <c r="Y205" s="713"/>
      <c r="Z205" s="712"/>
      <c r="AA205" s="712"/>
      <c r="AB205" s="638"/>
      <c r="AC205" s="638"/>
      <c r="AD205" s="638"/>
      <c r="AE205" s="629"/>
      <c r="AF205" s="666"/>
      <c r="AG205" s="666"/>
      <c r="AH205" s="629"/>
      <c r="AI205" s="638"/>
      <c r="AJ205" s="629"/>
      <c r="AK205" s="639" t="str">
        <f t="shared" si="70"/>
        <v/>
      </c>
      <c r="AL205" s="644"/>
      <c r="AM205" s="638"/>
      <c r="AN205" s="638"/>
      <c r="AO205" s="629"/>
      <c r="AP205" s="648"/>
      <c r="AQ205" s="791"/>
      <c r="AR205" s="791"/>
      <c r="AS205" s="792"/>
    </row>
    <row r="206" spans="1:45" ht="14.45" customHeight="1" x14ac:dyDescent="0.25">
      <c r="A206" s="261"/>
      <c r="B206" s="510" t="s">
        <v>297</v>
      </c>
      <c r="C206" s="510" t="s">
        <v>297</v>
      </c>
      <c r="D206" s="510" t="s">
        <v>297</v>
      </c>
      <c r="E206" s="704"/>
      <c r="F206" s="705"/>
      <c r="G206" s="510"/>
      <c r="H206" s="511"/>
      <c r="I206" s="261" t="str">
        <f t="shared" si="49"/>
        <v/>
      </c>
      <c r="J206" s="511"/>
      <c r="K206" s="511"/>
      <c r="L206" s="510"/>
      <c r="M206" s="510"/>
      <c r="N206" s="672"/>
      <c r="O206" s="514"/>
      <c r="P206" s="514" t="s">
        <v>297</v>
      </c>
      <c r="Q206" s="688"/>
      <c r="R206" s="674"/>
      <c r="S206" s="674"/>
      <c r="T206" s="674"/>
      <c r="U206" s="1022"/>
      <c r="V206" s="514"/>
      <c r="W206" s="675"/>
      <c r="X206" s="636" t="str">
        <f t="shared" si="48"/>
        <v/>
      </c>
      <c r="Y206" s="706"/>
      <c r="Z206" s="640"/>
      <c r="AA206" s="1022"/>
      <c r="AB206" s="637"/>
      <c r="AC206" s="637"/>
      <c r="AD206" s="637"/>
      <c r="AE206" s="139"/>
      <c r="AF206" s="642"/>
      <c r="AG206" s="583"/>
      <c r="AH206" s="139"/>
      <c r="AI206" s="637"/>
      <c r="AJ206" s="139"/>
      <c r="AK206" s="416" t="str">
        <f t="shared" si="70"/>
        <v/>
      </c>
      <c r="AL206" s="642"/>
      <c r="AM206" s="637"/>
      <c r="AN206" s="637"/>
      <c r="AO206" s="139"/>
      <c r="AP206" s="647"/>
      <c r="AQ206" s="789"/>
      <c r="AR206" s="789"/>
      <c r="AS206" s="790"/>
    </row>
    <row r="207" spans="1:45" ht="30" x14ac:dyDescent="0.25">
      <c r="A207" s="261" t="s">
        <v>434</v>
      </c>
      <c r="B207" s="510">
        <v>38.044488000000001</v>
      </c>
      <c r="C207" s="510">
        <v>-78.521012999999996</v>
      </c>
      <c r="D207" s="510" t="s">
        <v>296</v>
      </c>
      <c r="E207" s="511">
        <v>128.01</v>
      </c>
      <c r="F207" s="669">
        <v>40021</v>
      </c>
      <c r="G207" s="510" t="s">
        <v>289</v>
      </c>
      <c r="H207" s="511" t="s">
        <v>679</v>
      </c>
      <c r="I207" s="511" t="str">
        <f t="shared" si="49"/>
        <v>Filterra</v>
      </c>
      <c r="J207" s="511" t="s">
        <v>411</v>
      </c>
      <c r="K207" s="511"/>
      <c r="L207" s="261"/>
      <c r="M207" s="671">
        <f t="shared" ref="M207:M219" si="71">N207+O207+P207</f>
        <v>9.43737055893E-2</v>
      </c>
      <c r="N207" s="672">
        <v>8.3911861442200003E-2</v>
      </c>
      <c r="O207" s="514">
        <v>1.04618441471E-2</v>
      </c>
      <c r="P207" s="514">
        <v>0</v>
      </c>
      <c r="Q207" s="673">
        <f t="shared" ref="Q207:Q219" si="72">+N207/M207</f>
        <v>0.88914450183159754</v>
      </c>
      <c r="R207" s="674">
        <f>IF(L206="TT",(1.76*N207+0.5*O207+0.13*P207)-AF206,1.76*N207+0.5*O207+0.13*P207)</f>
        <v>0.152915798211822</v>
      </c>
      <c r="S207" s="674">
        <f>IF(L206="TT",(M207*9.39+N207*6.99+O207*2.36)-AK206,M207*9.39+N207*6.99+O207*2.36)</f>
        <v>1.4974029591516611</v>
      </c>
      <c r="T207" s="674">
        <f>IF(L206="TT",(M207*676.94+N207*101.08+O207*77.38)-AP206,M207*676.94+N207*101.08+O207*77.38)</f>
        <v>73.176684716300926</v>
      </c>
      <c r="U207" s="1022" t="s">
        <v>278</v>
      </c>
      <c r="V207" s="514">
        <v>53.1</v>
      </c>
      <c r="W207" s="675">
        <f t="shared" ref="W207:W219" si="73">IF(V207="NA", 0, (V207)*12/N207/43560)</f>
        <v>0.17432695356936895</v>
      </c>
      <c r="X207" s="634">
        <f t="shared" si="48"/>
        <v>0.5</v>
      </c>
      <c r="Y207" s="676">
        <f t="shared" ref="Y207:Y219" si="74">IF(X207="NA",0,R207*X207)</f>
        <v>7.6457899105910998E-2</v>
      </c>
      <c r="Z207" s="640">
        <v>0.76</v>
      </c>
      <c r="AA207" s="1022">
        <f t="shared" ref="AA207:AA219" si="75">R207*Z207</f>
        <v>0.11621600664098472</v>
      </c>
      <c r="AB207" s="635">
        <f>IF(ISNA(VLOOKUP(K207,'Efficiency Lookup'!$D$2:$E$35,2,FALSE)),0,VLOOKUP(K207,'Efficiency Lookup'!$D$2:$E$35,2,FALSE))</f>
        <v>0</v>
      </c>
      <c r="AC207" s="139">
        <f t="shared" ref="AC207:AC219" si="76">R207*AB207</f>
        <v>0</v>
      </c>
      <c r="AD207" s="637">
        <f t="shared" ref="AD207:AD219" si="77">IF(U207="RR",IF((0.0304*(W207^5)-0.2619*(W207^4)+0.9161*(W207^3)-1.6837*(W207^2)+1.7072*W207-0.0091)&gt;0.85,0.85,IF((0.0304*(W207^5)-0.2619*(W207^4)+0.9161*(W207^3)-1.6837*(W207^2)+1.7072*W207-0.0091)&lt;0,0,(0.0304*(W207^5)-0.2619*(W207^4)+0.9161*(W207^3)-1.6837*(W207^2)+1.7072*W207-0.0091))),IF((0.0239*(W207^5)-0.2058*(W207^4)+0.7198*(W207^3)-1.3229*(W207^2)+1.3414*W207-0.0072)&gt;0.65,0.65,IF((0.0239*(W207^5)-0.2058*(W207^4)+0.7198*(W207^3)-1.3229*(W207^2)+1.3414*W207-0.0072)&lt;0,0,(0.0239*(W207^5)-0.2058*(W207^4)+0.7198*(W207^3)-1.3229*(W207^2)+1.3414*W207-0.0072))))</f>
        <v>0.19006651604960284</v>
      </c>
      <c r="AE207" s="139">
        <f t="shared" ref="AE207:AE219" si="78">R207*AD207</f>
        <v>2.9064173015065094E-2</v>
      </c>
      <c r="AF207" s="516">
        <f t="shared" ref="AF207:AF219" si="79">MAX(Y207,AA207,AC207,AE207)</f>
        <v>0.11621600664098472</v>
      </c>
      <c r="AG207" s="634">
        <f>IF(ISNA(VLOOKUP(K207,'Efficiency Lookup'!$D$2:$G$35,3,FALSE)),0,VLOOKUP(K207,'Efficiency Lookup'!$D$2:$G$35,3,FALSE))</f>
        <v>0</v>
      </c>
      <c r="AH207" s="139">
        <f t="shared" ref="AH207:AH219" si="80">S207*AG207</f>
        <v>0</v>
      </c>
      <c r="AI207" s="521">
        <f t="shared" ref="AI207:AI219" si="81">IF(U207="RR",IF((0.0308*(W207^5)-0.2562*(W207^4)+0.8634*(W207^3)-1.5285*(W207^2)+1.501*W207-0.013)&gt;0.7,0.7,IF((0.0308*(W207^5)-0.2562*(W207^4)+0.8634*(W207^3)-1.5285*(W207^2)+1.501*W207-0.013)&lt;0,0,(0.0308*(W207^5)-0.2562*(W207^4)+0.8634*(W207^3)-1.5285*(W207^2)+1.501*W207-0.013))),IF((0.0152*(W207^5)-0.131*(W207^4)+0.4581*(W207^3)-0.8418*(W207^2)+0.8536*W207-0.0046)&gt;0.65,0.65,IF((0.0152*(W207^5)-0.131*(W207^4)+0.4581*(W207^3)-0.8418*(W207^2)+0.8536*W207-0.0046)&lt;0,0,(0.0152*(W207^5)-0.131*(W207^4)+0.4581*(W207^3)-0.8418*(W207^2)+0.8536*W207-0.0046))))</f>
        <v>0.12093165502455411</v>
      </c>
      <c r="AJ207" s="1005">
        <f t="shared" ref="AJ207:AJ219" si="82">S207*AI207</f>
        <v>0.18108341808887518</v>
      </c>
      <c r="AK207" s="416">
        <f t="shared" si="70"/>
        <v>0.18108341808887518</v>
      </c>
      <c r="AL207" s="634">
        <f>IF(ISNA(VLOOKUP(K207,'Efficiency Lookup'!$D$2:$G$35,4,FALSE)),0,VLOOKUP(K207,'Efficiency Lookup'!$D$2:$G$35,4,FALSE))</f>
        <v>0</v>
      </c>
      <c r="AM207" s="139">
        <f t="shared" ref="AM207:AM219" si="83">T207*AL207</f>
        <v>0</v>
      </c>
      <c r="AN207" s="521">
        <f t="shared" ref="AN207:AN219" si="84">IF(U207="RR",IF((0.0326*(W207^5)-0.2806*(W207^4)+0.9816*(W207^3)-1.8039*(W207^2)+1.8292*W207-0.0098)&gt;0.85,0.85,IF((0.0326*(W207^5)-0.2806*(W207^4)+0.9816*(W207^3)-1.8039*(W207^2)+1.8292*W207-0.0098)&lt;0,0,(0.0326*(W207^5)-0.2806*(W207^4)+0.9816*(W207^3)-1.8039*(W207^2)+1.8292*W207-0.0098))),IF((0.0304*(W207^5)-0.2619*(W207^4)+0.9161*(W207^3)-1.6837*(W207^2)+1.7072*W207-0.0091)&gt;0.8,0.8,IF((0.0304*(W207^5)-0.2619*(W207^4)+0.9161*(W207^3)-1.6837*(W207^2)+1.7072*W207-0.0091)&lt;0,0,(0.0304*(W207^5)-0.2619*(W207^4)+0.9161*(W207^3)-1.6837*(W207^2)+1.7072*W207-0.0091))))</f>
        <v>0.24195983363731827</v>
      </c>
      <c r="AO207" s="1005">
        <f t="shared" ref="AO207:AO219" si="85">T207*AN207</f>
        <v>17.705818460086661</v>
      </c>
      <c r="AP207" s="647">
        <f t="shared" ref="AP207:AP219" si="86">IF(AK207=AH207,AM207,AO207)</f>
        <v>17.705818460086661</v>
      </c>
      <c r="AQ207" s="789">
        <f t="shared" ref="AQ207:AQ219" si="87">IF(AF207&lt;0,0,AF207)</f>
        <v>0.11621600664098472</v>
      </c>
      <c r="AR207" s="789">
        <f t="shared" ref="AR207:AR219" si="88">IF(AK207&lt;0,0,AK207)</f>
        <v>0.18108341808887518</v>
      </c>
      <c r="AS207" s="790">
        <f t="shared" ref="AS207:AS219" si="89">IF(AP207&lt;0,0,AP207)</f>
        <v>17.705818460086661</v>
      </c>
    </row>
    <row r="208" spans="1:45" ht="30" x14ac:dyDescent="0.25">
      <c r="A208" s="261"/>
      <c r="B208" s="510">
        <v>38.044414500000002</v>
      </c>
      <c r="C208" s="510">
        <v>-78.521178499999991</v>
      </c>
      <c r="D208" s="510" t="s">
        <v>296</v>
      </c>
      <c r="E208" s="511" t="s">
        <v>706</v>
      </c>
      <c r="F208" s="669">
        <v>40021</v>
      </c>
      <c r="G208" s="510" t="s">
        <v>289</v>
      </c>
      <c r="H208" s="511" t="s">
        <v>707</v>
      </c>
      <c r="I208" s="511" t="str">
        <f t="shared" si="49"/>
        <v>Filterra</v>
      </c>
      <c r="J208" s="511" t="s">
        <v>411</v>
      </c>
      <c r="K208" s="511"/>
      <c r="L208" s="261"/>
      <c r="M208" s="671">
        <f t="shared" si="71"/>
        <v>0.15905169803489999</v>
      </c>
      <c r="N208" s="672">
        <v>0.1170741351347</v>
      </c>
      <c r="O208" s="514">
        <v>4.1977562900200001E-2</v>
      </c>
      <c r="P208" s="514">
        <v>0</v>
      </c>
      <c r="Q208" s="673">
        <f t="shared" si="72"/>
        <v>0.73607598397981866</v>
      </c>
      <c r="R208" s="674">
        <f>IF(L207="TT",(1.76*N208+0.5*O208+0.13*P208)-#REF!,1.76*N208+0.5*O208+0.13*P208)</f>
        <v>0.227039259287172</v>
      </c>
      <c r="S208" s="674">
        <f>IF(L207="TT",(M208*9.39+N208*6.99+O208*2.36)-#REF!,M208*9.39+N208*6.99+O208*2.36)</f>
        <v>2.410910697583736</v>
      </c>
      <c r="T208" s="674">
        <f>IF(L207="TT",(M208*676.94+N208*101.08+O208*77.38)-#REF!,M208*676.94+N208*101.08+O208*77.38)</f>
        <v>122.75053386437816</v>
      </c>
      <c r="U208" s="1022" t="s">
        <v>278</v>
      </c>
      <c r="V208" s="514">
        <f>35.4*2</f>
        <v>70.8</v>
      </c>
      <c r="W208" s="675">
        <f t="shared" si="73"/>
        <v>0.16659642378706807</v>
      </c>
      <c r="X208" s="634">
        <f t="shared" si="48"/>
        <v>0.5</v>
      </c>
      <c r="Y208" s="676">
        <f t="shared" si="74"/>
        <v>0.113519629643586</v>
      </c>
      <c r="Z208" s="640">
        <v>0.77</v>
      </c>
      <c r="AA208" s="1022">
        <f t="shared" si="75"/>
        <v>0.17482022965112246</v>
      </c>
      <c r="AB208" s="635">
        <f>IF(ISNA(VLOOKUP(K208,'Efficiency Lookup'!$D$2:$E$35,2,FALSE)),0,VLOOKUP(K208,'Efficiency Lookup'!$D$2:$E$35,2,FALSE))</f>
        <v>0</v>
      </c>
      <c r="AC208" s="139">
        <f t="shared" si="76"/>
        <v>0</v>
      </c>
      <c r="AD208" s="637">
        <f t="shared" si="77"/>
        <v>0.1827289229940087</v>
      </c>
      <c r="AE208" s="139">
        <f t="shared" si="78"/>
        <v>4.1486639326902428E-2</v>
      </c>
      <c r="AF208" s="516">
        <f t="shared" si="79"/>
        <v>0.17482022965112246</v>
      </c>
      <c r="AG208" s="634">
        <f>IF(ISNA(VLOOKUP(K208,'Efficiency Lookup'!$D$2:$G$35,3,FALSE)),0,VLOOKUP(K208,'Efficiency Lookup'!$D$2:$G$35,3,FALSE))</f>
        <v>0</v>
      </c>
      <c r="AH208" s="139">
        <f t="shared" si="80"/>
        <v>0</v>
      </c>
      <c r="AI208" s="521">
        <f t="shared" si="81"/>
        <v>0.11626227361743477</v>
      </c>
      <c r="AJ208" s="1005">
        <f t="shared" si="82"/>
        <v>0.28029795918968087</v>
      </c>
      <c r="AK208" s="416">
        <f t="shared" si="70"/>
        <v>0.28029795918968087</v>
      </c>
      <c r="AL208" s="634">
        <f>IF(ISNA(VLOOKUP(K208,'Efficiency Lookup'!$D$2:$G$35,4,FALSE)),0,VLOOKUP(K208,'Efficiency Lookup'!$D$2:$G$35,4,FALSE))</f>
        <v>0</v>
      </c>
      <c r="AM208" s="139">
        <f t="shared" si="83"/>
        <v>0</v>
      </c>
      <c r="AN208" s="521">
        <f t="shared" si="84"/>
        <v>0.23262138645067201</v>
      </c>
      <c r="AO208" s="1005">
        <f t="shared" si="85"/>
        <v>28.554399375091812</v>
      </c>
      <c r="AP208" s="647">
        <f t="shared" si="86"/>
        <v>28.554399375091812</v>
      </c>
      <c r="AQ208" s="789">
        <f t="shared" si="87"/>
        <v>0.17482022965112246</v>
      </c>
      <c r="AR208" s="789">
        <f t="shared" si="88"/>
        <v>0.28029795918968087</v>
      </c>
      <c r="AS208" s="790">
        <f t="shared" si="89"/>
        <v>28.554399375091812</v>
      </c>
    </row>
    <row r="209" spans="1:45" ht="30" x14ac:dyDescent="0.25">
      <c r="A209" s="261"/>
      <c r="B209" s="510">
        <v>38.044409999999999</v>
      </c>
      <c r="C209" s="510">
        <v>-78.520787999999996</v>
      </c>
      <c r="D209" s="510" t="s">
        <v>296</v>
      </c>
      <c r="E209" s="511">
        <v>128.13999999999999</v>
      </c>
      <c r="F209" s="669">
        <v>40021</v>
      </c>
      <c r="G209" s="510" t="s">
        <v>289</v>
      </c>
      <c r="H209" s="511" t="s">
        <v>679</v>
      </c>
      <c r="I209" s="511" t="str">
        <f t="shared" ref="I209:I222" si="90">IF(G209="","",IF(G209="Proprietary","Filterra","Clearinghouse Not Used"))</f>
        <v>Filterra</v>
      </c>
      <c r="J209" s="511" t="s">
        <v>411</v>
      </c>
      <c r="K209" s="511"/>
      <c r="L209" s="261"/>
      <c r="M209" s="671">
        <f t="shared" si="71"/>
        <v>3.9654880902405001E-2</v>
      </c>
      <c r="N209" s="672">
        <v>3.9001178172400001E-2</v>
      </c>
      <c r="O209" s="514">
        <v>6.5370273000499995E-4</v>
      </c>
      <c r="P209" s="514">
        <v>0</v>
      </c>
      <c r="Q209" s="673">
        <f t="shared" si="72"/>
        <v>0.98351520127840419</v>
      </c>
      <c r="R209" s="674">
        <f>IF(L208="TT",(1.76*N209+0.5*O209+0.13*P209)-AF106,1.76*N209+0.5*O209+0.13*P209)</f>
        <v>6.8968924948426505E-2</v>
      </c>
      <c r="S209" s="674">
        <f>IF(L208="TT",(M209*9.39+N209*6.99+O209*2.36)-AK106,M209*9.39+N209*6.99+O209*2.36)</f>
        <v>0.64652030554147089</v>
      </c>
      <c r="T209" s="674">
        <f>IF(L208="TT",(M209*676.94+N209*101.08+O209*77.38)-AP106,M209*676.94+N209*101.08+O209*77.38)</f>
        <v>30.836797684988024</v>
      </c>
      <c r="U209" s="1022" t="s">
        <v>278</v>
      </c>
      <c r="V209" s="514">
        <v>53.1</v>
      </c>
      <c r="W209" s="675">
        <f t="shared" si="73"/>
        <v>0.37506813534944949</v>
      </c>
      <c r="X209" s="634">
        <f t="shared" ref="X209:X272" si="91">IF(W209="","",IF(I209="Filterra",0.5,IF(I209="Stormfilter",0.45,"NA")))</f>
        <v>0.5</v>
      </c>
      <c r="Y209" s="676">
        <f t="shared" si="74"/>
        <v>3.4484462474213252E-2</v>
      </c>
      <c r="Z209" s="640">
        <v>0.75</v>
      </c>
      <c r="AA209" s="1022">
        <f t="shared" si="75"/>
        <v>5.1726693711319882E-2</v>
      </c>
      <c r="AB209" s="635">
        <f>IF(ISNA(VLOOKUP(K209,'Efficiency Lookup'!$D$2:$E$35,2,FALSE)),0,VLOOKUP(K209,'Efficiency Lookup'!$D$2:$E$35,2,FALSE))</f>
        <v>0</v>
      </c>
      <c r="AC209" s="139">
        <f t="shared" si="76"/>
        <v>0</v>
      </c>
      <c r="AD209" s="637">
        <f t="shared" si="77"/>
        <v>0.34389953716939686</v>
      </c>
      <c r="AE209" s="139">
        <f t="shared" si="78"/>
        <v>2.3718381368834744E-2</v>
      </c>
      <c r="AF209" s="516">
        <f t="shared" si="79"/>
        <v>5.1726693711319882E-2</v>
      </c>
      <c r="AG209" s="634">
        <f>IF(ISNA(VLOOKUP(K209,'Efficiency Lookup'!$D$2:$G$35,3,FALSE)),0,VLOOKUP(K209,'Efficiency Lookup'!$D$2:$G$35,3,FALSE))</f>
        <v>0</v>
      </c>
      <c r="AH209" s="139">
        <f t="shared" si="80"/>
        <v>0</v>
      </c>
      <c r="AI209" s="521">
        <f t="shared" si="81"/>
        <v>0.21882816436512414</v>
      </c>
      <c r="AJ209" s="1005">
        <f t="shared" si="82"/>
        <v>0.14147685168641927</v>
      </c>
      <c r="AK209" s="416">
        <f t="shared" si="70"/>
        <v>0.14147685168641927</v>
      </c>
      <c r="AL209" s="634">
        <f>IF(ISNA(VLOOKUP(K209,'Efficiency Lookup'!$D$2:$G$35,4,FALSE)),0,VLOOKUP(K209,'Efficiency Lookup'!$D$2:$G$35,4,FALSE))</f>
        <v>0</v>
      </c>
      <c r="AM209" s="139">
        <f t="shared" si="83"/>
        <v>0</v>
      </c>
      <c r="AN209" s="521">
        <f t="shared" si="84"/>
        <v>0.4377389637838347</v>
      </c>
      <c r="AO209" s="1005">
        <f t="shared" si="85"/>
        <v>13.49846786503841</v>
      </c>
      <c r="AP209" s="647">
        <f t="shared" si="86"/>
        <v>13.49846786503841</v>
      </c>
      <c r="AQ209" s="789">
        <f t="shared" si="87"/>
        <v>5.1726693711319882E-2</v>
      </c>
      <c r="AR209" s="789">
        <f t="shared" si="88"/>
        <v>0.14147685168641927</v>
      </c>
      <c r="AS209" s="790">
        <f t="shared" si="89"/>
        <v>13.49846786503841</v>
      </c>
    </row>
    <row r="210" spans="1:45" ht="30" x14ac:dyDescent="0.25">
      <c r="A210" s="261"/>
      <c r="B210" s="510">
        <v>38.044213999999997</v>
      </c>
      <c r="C210" s="510">
        <v>-78.521620999999996</v>
      </c>
      <c r="D210" s="510" t="s">
        <v>296</v>
      </c>
      <c r="E210" s="511">
        <v>128.04</v>
      </c>
      <c r="F210" s="669">
        <v>40021</v>
      </c>
      <c r="G210" s="510" t="s">
        <v>289</v>
      </c>
      <c r="H210" s="511" t="s">
        <v>708</v>
      </c>
      <c r="I210" s="511" t="str">
        <f t="shared" si="90"/>
        <v>Filterra</v>
      </c>
      <c r="J210" s="511" t="s">
        <v>411</v>
      </c>
      <c r="K210" s="511"/>
      <c r="L210" s="261"/>
      <c r="M210" s="671">
        <f t="shared" si="71"/>
        <v>0.1213818201546</v>
      </c>
      <c r="N210" s="672">
        <v>8.6302367010700001E-2</v>
      </c>
      <c r="O210" s="514">
        <v>3.50794531439E-2</v>
      </c>
      <c r="P210" s="514">
        <v>0</v>
      </c>
      <c r="Q210" s="673">
        <f t="shared" si="72"/>
        <v>0.71099911750194167</v>
      </c>
      <c r="R210" s="674">
        <f t="shared" ref="R210:R219" si="92">IF(L209="TT",(1.76*N210+0.5*O210+0.13*P210)-AF206,1.76*N210+0.5*O210+0.13*P210)</f>
        <v>0.169431892510782</v>
      </c>
      <c r="S210" s="674">
        <f t="shared" ref="S210:S219" si="93">IF(L209="TT",(M210*9.39+N210*6.99+O210*2.36)-AK206,M210*9.39+N210*6.99+O210*2.36)</f>
        <v>1.825816346076091</v>
      </c>
      <c r="T210" s="674">
        <f t="shared" ref="T210:T219" si="94">IF(L209="TT",(M210*676.94+N210*101.08+O210*77.38)-AP206,M210*676.94+N210*101.08+O210*77.38)</f>
        <v>93.606100677171469</v>
      </c>
      <c r="U210" s="1022" t="s">
        <v>278</v>
      </c>
      <c r="V210" s="514">
        <v>35</v>
      </c>
      <c r="W210" s="675">
        <f t="shared" si="73"/>
        <v>0.11172200267741775</v>
      </c>
      <c r="X210" s="634">
        <f t="shared" si="91"/>
        <v>0.5</v>
      </c>
      <c r="Y210" s="676">
        <f t="shared" si="74"/>
        <v>8.4715946255391E-2</v>
      </c>
      <c r="Z210" s="640">
        <v>0.77</v>
      </c>
      <c r="AA210" s="1022">
        <f t="shared" si="75"/>
        <v>0.13046255723330213</v>
      </c>
      <c r="AB210" s="635">
        <f>IF(ISNA(VLOOKUP(K210,'Efficiency Lookup'!$D$2:$E$35,2,FALSE)),0,VLOOKUP(K210,'Efficiency Lookup'!$D$2:$E$35,2,FALSE))</f>
        <v>0</v>
      </c>
      <c r="AC210" s="139">
        <f t="shared" si="76"/>
        <v>0</v>
      </c>
      <c r="AD210" s="637">
        <f t="shared" si="77"/>
        <v>0.12712382227234692</v>
      </c>
      <c r="AE210" s="139">
        <f t="shared" si="78"/>
        <v>2.1538829790808039E-2</v>
      </c>
      <c r="AF210" s="516">
        <f t="shared" si="79"/>
        <v>0.13046255723330213</v>
      </c>
      <c r="AG210" s="634">
        <f>IF(ISNA(VLOOKUP(K210,'Efficiency Lookup'!$D$2:$G$35,3,FALSE)),0,VLOOKUP(K210,'Efficiency Lookup'!$D$2:$G$35,3,FALSE))</f>
        <v>0</v>
      </c>
      <c r="AH210" s="139">
        <f t="shared" si="80"/>
        <v>0</v>
      </c>
      <c r="AI210" s="521">
        <f t="shared" si="81"/>
        <v>8.0877389599658178E-2</v>
      </c>
      <c r="AJ210" s="1005">
        <f t="shared" si="82"/>
        <v>0.14766725995902033</v>
      </c>
      <c r="AK210" s="416">
        <f t="shared" si="70"/>
        <v>0.14766725995902033</v>
      </c>
      <c r="AL210" s="634">
        <f>IF(ISNA(VLOOKUP(K210,'Efficiency Lookup'!$D$2:$G$35,4,FALSE)),0,VLOOKUP(K210,'Efficiency Lookup'!$D$2:$G$35,4,FALSE))</f>
        <v>0</v>
      </c>
      <c r="AM210" s="139">
        <f t="shared" si="83"/>
        <v>0</v>
      </c>
      <c r="AN210" s="521">
        <f t="shared" si="84"/>
        <v>0.16185340714904092</v>
      </c>
      <c r="AO210" s="1005">
        <f t="shared" si="85"/>
        <v>15.15046632453635</v>
      </c>
      <c r="AP210" s="647">
        <f t="shared" si="86"/>
        <v>15.15046632453635</v>
      </c>
      <c r="AQ210" s="789">
        <f t="shared" si="87"/>
        <v>0.13046255723330213</v>
      </c>
      <c r="AR210" s="789">
        <f t="shared" si="88"/>
        <v>0.14766725995902033</v>
      </c>
      <c r="AS210" s="790">
        <f t="shared" si="89"/>
        <v>15.15046632453635</v>
      </c>
    </row>
    <row r="211" spans="1:45" ht="30" x14ac:dyDescent="0.25">
      <c r="A211" s="261"/>
      <c r="B211" s="510">
        <v>38.044077999999999</v>
      </c>
      <c r="C211" s="510">
        <v>-78.521084000000002</v>
      </c>
      <c r="D211" s="510" t="s">
        <v>296</v>
      </c>
      <c r="E211" s="511">
        <v>128.05000000000001</v>
      </c>
      <c r="F211" s="669">
        <v>40021</v>
      </c>
      <c r="G211" s="510" t="s">
        <v>289</v>
      </c>
      <c r="H211" s="511" t="s">
        <v>679</v>
      </c>
      <c r="I211" s="511" t="str">
        <f t="shared" si="90"/>
        <v>Filterra</v>
      </c>
      <c r="J211" s="511" t="s">
        <v>411</v>
      </c>
      <c r="K211" s="511"/>
      <c r="L211" s="261"/>
      <c r="M211" s="671">
        <f t="shared" si="71"/>
        <v>0.10215988794851501</v>
      </c>
      <c r="N211" s="672">
        <v>0.100497955673347</v>
      </c>
      <c r="O211" s="514">
        <v>1.661932275168E-3</v>
      </c>
      <c r="P211" s="514">
        <v>0</v>
      </c>
      <c r="Q211" s="673">
        <f t="shared" si="72"/>
        <v>0.98373204680876747</v>
      </c>
      <c r="R211" s="674">
        <f t="shared" si="92"/>
        <v>0.17770736812267471</v>
      </c>
      <c r="S211" s="674">
        <f t="shared" si="93"/>
        <v>1.6656842181626479</v>
      </c>
      <c r="T211" s="674">
        <f t="shared" si="94"/>
        <v>79.443048226782182</v>
      </c>
      <c r="U211" s="1022" t="s">
        <v>278</v>
      </c>
      <c r="V211" s="514">
        <v>53.1</v>
      </c>
      <c r="W211" s="675">
        <f t="shared" si="73"/>
        <v>0.14555618644721574</v>
      </c>
      <c r="X211" s="634">
        <f t="shared" si="91"/>
        <v>0.5</v>
      </c>
      <c r="Y211" s="676">
        <f t="shared" si="74"/>
        <v>8.8853684061337354E-2</v>
      </c>
      <c r="Z211" s="640">
        <v>0.8</v>
      </c>
      <c r="AA211" s="1022">
        <f t="shared" si="75"/>
        <v>0.14216589449813977</v>
      </c>
      <c r="AB211" s="635">
        <f>IF(ISNA(VLOOKUP(K211,'Efficiency Lookup'!$D$2:$E$35,2,FALSE)),0,VLOOKUP(K211,'Efficiency Lookup'!$D$2:$E$35,2,FALSE))</f>
        <v>0</v>
      </c>
      <c r="AC211" s="139">
        <f t="shared" si="76"/>
        <v>0</v>
      </c>
      <c r="AD211" s="637">
        <f t="shared" si="77"/>
        <v>0.16215024338034595</v>
      </c>
      <c r="AE211" s="139">
        <f t="shared" si="78"/>
        <v>2.8815292991572435E-2</v>
      </c>
      <c r="AF211" s="516">
        <f t="shared" si="79"/>
        <v>0.14216589449813977</v>
      </c>
      <c r="AG211" s="634">
        <f>IF(ISNA(VLOOKUP(K211,'Efficiency Lookup'!$D$2:$G$35,3,FALSE)),0,VLOOKUP(K211,'Efficiency Lookup'!$D$2:$G$35,3,FALSE))</f>
        <v>0</v>
      </c>
      <c r="AH211" s="139">
        <f t="shared" si="80"/>
        <v>0</v>
      </c>
      <c r="AI211" s="521">
        <f t="shared" si="81"/>
        <v>0.10316677650590542</v>
      </c>
      <c r="AJ211" s="1005">
        <f t="shared" si="82"/>
        <v>0.17184327146459968</v>
      </c>
      <c r="AK211" s="416">
        <f t="shared" si="70"/>
        <v>0.17184327146459968</v>
      </c>
      <c r="AL211" s="634">
        <f>IF(ISNA(VLOOKUP(K211,'Efficiency Lookup'!$D$2:$G$35,4,FALSE)),0,VLOOKUP(K211,'Efficiency Lookup'!$D$2:$G$35,4,FALSE))</f>
        <v>0</v>
      </c>
      <c r="AM211" s="139">
        <f t="shared" si="83"/>
        <v>0</v>
      </c>
      <c r="AN211" s="521">
        <f t="shared" si="84"/>
        <v>0.20643117085456628</v>
      </c>
      <c r="AO211" s="1005">
        <f t="shared" si="85"/>
        <v>16.399521461710421</v>
      </c>
      <c r="AP211" s="647">
        <f t="shared" si="86"/>
        <v>16.399521461710421</v>
      </c>
      <c r="AQ211" s="789">
        <f t="shared" si="87"/>
        <v>0.14216589449813977</v>
      </c>
      <c r="AR211" s="789">
        <f t="shared" si="88"/>
        <v>0.17184327146459968</v>
      </c>
      <c r="AS211" s="790">
        <f t="shared" si="89"/>
        <v>16.399521461710421</v>
      </c>
    </row>
    <row r="212" spans="1:45" ht="30" x14ac:dyDescent="0.25">
      <c r="A212" s="261"/>
      <c r="B212" s="510">
        <v>38.043998000000002</v>
      </c>
      <c r="C212" s="510">
        <v>-78.521296500000005</v>
      </c>
      <c r="D212" s="510" t="s">
        <v>296</v>
      </c>
      <c r="E212" s="511" t="s">
        <v>709</v>
      </c>
      <c r="F212" s="669">
        <v>40021</v>
      </c>
      <c r="G212" s="510" t="s">
        <v>289</v>
      </c>
      <c r="H212" s="511" t="s">
        <v>710</v>
      </c>
      <c r="I212" s="511" t="str">
        <f t="shared" si="90"/>
        <v>Filterra</v>
      </c>
      <c r="J212" s="511" t="s">
        <v>411</v>
      </c>
      <c r="K212" s="511"/>
      <c r="L212" s="261"/>
      <c r="M212" s="671">
        <f t="shared" si="71"/>
        <v>0.13469511125637099</v>
      </c>
      <c r="N212" s="672">
        <v>7.7360797625193989E-2</v>
      </c>
      <c r="O212" s="514">
        <v>5.7334313631176997E-2</v>
      </c>
      <c r="P212" s="514">
        <v>0</v>
      </c>
      <c r="Q212" s="673">
        <f t="shared" si="72"/>
        <v>0.57434005513347741</v>
      </c>
      <c r="R212" s="674">
        <f t="shared" si="92"/>
        <v>0.16482216063592992</v>
      </c>
      <c r="S212" s="674">
        <f t="shared" si="93"/>
        <v>1.9408480502670074</v>
      </c>
      <c r="T212" s="674">
        <f t="shared" si="94"/>
        <v>103.43666722662286</v>
      </c>
      <c r="U212" s="1022" t="s">
        <v>278</v>
      </c>
      <c r="V212" s="514">
        <f>53.1*2</f>
        <v>106.2</v>
      </c>
      <c r="W212" s="675">
        <f t="shared" si="73"/>
        <v>0.37817860266709058</v>
      </c>
      <c r="X212" s="634">
        <f t="shared" si="91"/>
        <v>0.5</v>
      </c>
      <c r="Y212" s="676">
        <f t="shared" si="74"/>
        <v>8.2411080317964958E-2</v>
      </c>
      <c r="Z212" s="640">
        <v>0.78</v>
      </c>
      <c r="AA212" s="1022">
        <f t="shared" si="75"/>
        <v>0.12856128529602534</v>
      </c>
      <c r="AB212" s="635">
        <f>IF(ISNA(VLOOKUP(K212,'Efficiency Lookup'!$D$2:$E$35,2,FALSE)),0,VLOOKUP(K212,'Efficiency Lookup'!$D$2:$E$35,2,FALSE))</f>
        <v>0</v>
      </c>
      <c r="AC212" s="139">
        <f t="shared" si="76"/>
        <v>0</v>
      </c>
      <c r="AD212" s="637">
        <f t="shared" si="77"/>
        <v>0.34579586030408904</v>
      </c>
      <c r="AE212" s="139">
        <f t="shared" si="78"/>
        <v>5.6994820834280147E-2</v>
      </c>
      <c r="AF212" s="516">
        <f t="shared" si="79"/>
        <v>0.12856128529602534</v>
      </c>
      <c r="AG212" s="634">
        <f>IF(ISNA(VLOOKUP(K212,'Efficiency Lookup'!$D$2:$G$35,3,FALSE)),0,VLOOKUP(K212,'Efficiency Lookup'!$D$2:$G$35,3,FALSE))</f>
        <v>0</v>
      </c>
      <c r="AH212" s="139">
        <f t="shared" si="80"/>
        <v>0</v>
      </c>
      <c r="AI212" s="521">
        <f t="shared" si="81"/>
        <v>0.22003499854413594</v>
      </c>
      <c r="AJ212" s="1005">
        <f t="shared" si="82"/>
        <v>0.42705449791489003</v>
      </c>
      <c r="AK212" s="416">
        <f t="shared" si="70"/>
        <v>0.42705449791489003</v>
      </c>
      <c r="AL212" s="634">
        <f>IF(ISNA(VLOOKUP(K212,'Efficiency Lookup'!$D$2:$G$35,4,FALSE)),0,VLOOKUP(K212,'Efficiency Lookup'!$D$2:$G$35,4,FALSE))</f>
        <v>0</v>
      </c>
      <c r="AM212" s="139">
        <f t="shared" si="83"/>
        <v>0</v>
      </c>
      <c r="AN212" s="521">
        <f t="shared" si="84"/>
        <v>0.44015233195308745</v>
      </c>
      <c r="AO212" s="1005">
        <f t="shared" si="85"/>
        <v>45.527890289253548</v>
      </c>
      <c r="AP212" s="647">
        <f t="shared" si="86"/>
        <v>45.527890289253548</v>
      </c>
      <c r="AQ212" s="789">
        <f t="shared" si="87"/>
        <v>0.12856128529602534</v>
      </c>
      <c r="AR212" s="789">
        <f t="shared" si="88"/>
        <v>0.42705449791489003</v>
      </c>
      <c r="AS212" s="790">
        <f t="shared" si="89"/>
        <v>45.527890289253548</v>
      </c>
    </row>
    <row r="213" spans="1:45" ht="30" x14ac:dyDescent="0.25">
      <c r="A213" s="261"/>
      <c r="B213" s="510">
        <v>38.043861999999997</v>
      </c>
      <c r="C213" s="510">
        <v>-78.521595000000005</v>
      </c>
      <c r="D213" s="510" t="s">
        <v>296</v>
      </c>
      <c r="E213" s="511">
        <v>128.08000000000001</v>
      </c>
      <c r="F213" s="669">
        <v>40021</v>
      </c>
      <c r="G213" s="510" t="s">
        <v>289</v>
      </c>
      <c r="H213" s="511" t="s">
        <v>708</v>
      </c>
      <c r="I213" s="511" t="str">
        <f t="shared" si="90"/>
        <v>Filterra</v>
      </c>
      <c r="J213" s="511" t="s">
        <v>411</v>
      </c>
      <c r="K213" s="511"/>
      <c r="L213" s="261"/>
      <c r="M213" s="671">
        <f t="shared" si="71"/>
        <v>0.10697305265097601</v>
      </c>
      <c r="N213" s="672">
        <v>6.1580657070898999E-2</v>
      </c>
      <c r="O213" s="514">
        <v>4.5392395580077002E-2</v>
      </c>
      <c r="P213" s="514">
        <v>0</v>
      </c>
      <c r="Q213" s="673">
        <f t="shared" si="72"/>
        <v>0.57566513757273008</v>
      </c>
      <c r="R213" s="674">
        <f t="shared" si="92"/>
        <v>0.13107815423482075</v>
      </c>
      <c r="S213" s="674">
        <f t="shared" si="93"/>
        <v>1.5420518108872305</v>
      </c>
      <c r="T213" s="674">
        <f t="shared" si="94"/>
        <v>82.151374648264522</v>
      </c>
      <c r="U213" s="1022" t="s">
        <v>278</v>
      </c>
      <c r="V213" s="514">
        <v>35</v>
      </c>
      <c r="W213" s="675">
        <f t="shared" si="73"/>
        <v>0.15657308214714305</v>
      </c>
      <c r="X213" s="634">
        <f t="shared" si="91"/>
        <v>0.5</v>
      </c>
      <c r="Y213" s="676">
        <f t="shared" si="74"/>
        <v>6.5539077117410374E-2</v>
      </c>
      <c r="Z213" s="640">
        <v>0.78</v>
      </c>
      <c r="AA213" s="1022">
        <f t="shared" si="75"/>
        <v>0.10224096030316018</v>
      </c>
      <c r="AB213" s="635">
        <f>IF(ISNA(VLOOKUP(K213,'Efficiency Lookup'!$D$2:$E$35,2,FALSE)),0,VLOOKUP(K213,'Efficiency Lookup'!$D$2:$E$35,2,FALSE))</f>
        <v>0</v>
      </c>
      <c r="AC213" s="139">
        <f t="shared" si="76"/>
        <v>0</v>
      </c>
      <c r="AD213" s="637">
        <f t="shared" si="77"/>
        <v>0.17303751887975424</v>
      </c>
      <c r="AE213" s="139">
        <f t="shared" si="78"/>
        <v>2.2681438588131132E-2</v>
      </c>
      <c r="AF213" s="516">
        <f t="shared" si="79"/>
        <v>0.10224096030316018</v>
      </c>
      <c r="AG213" s="634">
        <f>IF(ISNA(VLOOKUP(K213,'Efficiency Lookup'!$D$2:$G$35,3,FALSE)),0,VLOOKUP(K213,'Efficiency Lookup'!$D$2:$G$35,3,FALSE))</f>
        <v>0</v>
      </c>
      <c r="AH213" s="139">
        <f t="shared" si="80"/>
        <v>0</v>
      </c>
      <c r="AI213" s="521">
        <f t="shared" si="81"/>
        <v>0.11009502222773287</v>
      </c>
      <c r="AJ213" s="1005">
        <f t="shared" si="82"/>
        <v>0.16977222839594538</v>
      </c>
      <c r="AK213" s="416">
        <f t="shared" si="70"/>
        <v>0.16977222839594538</v>
      </c>
      <c r="AL213" s="634">
        <f>IF(ISNA(VLOOKUP(K213,'Efficiency Lookup'!$D$2:$G$35,4,FALSE)),0,VLOOKUP(K213,'Efficiency Lookup'!$D$2:$G$35,4,FALSE))</f>
        <v>0</v>
      </c>
      <c r="AM213" s="139">
        <f t="shared" si="83"/>
        <v>0</v>
      </c>
      <c r="AN213" s="521">
        <f t="shared" si="84"/>
        <v>0.22028726920067343</v>
      </c>
      <c r="AO213" s="1005">
        <f t="shared" si="85"/>
        <v>18.096901982347624</v>
      </c>
      <c r="AP213" s="647">
        <f t="shared" si="86"/>
        <v>18.096901982347624</v>
      </c>
      <c r="AQ213" s="789">
        <f t="shared" si="87"/>
        <v>0.10224096030316018</v>
      </c>
      <c r="AR213" s="789">
        <f t="shared" si="88"/>
        <v>0.16977222839594538</v>
      </c>
      <c r="AS213" s="790">
        <f t="shared" si="89"/>
        <v>18.096901982347624</v>
      </c>
    </row>
    <row r="214" spans="1:45" ht="30" x14ac:dyDescent="0.25">
      <c r="A214" s="261"/>
      <c r="B214" s="510">
        <v>38.043596000000001</v>
      </c>
      <c r="C214" s="510">
        <v>-78.520984999999996</v>
      </c>
      <c r="D214" s="510" t="s">
        <v>296</v>
      </c>
      <c r="E214" s="511">
        <v>128.09</v>
      </c>
      <c r="F214" s="669">
        <v>40021</v>
      </c>
      <c r="G214" s="510" t="s">
        <v>289</v>
      </c>
      <c r="H214" s="511" t="s">
        <v>679</v>
      </c>
      <c r="I214" s="511" t="str">
        <f t="shared" si="90"/>
        <v>Filterra</v>
      </c>
      <c r="J214" s="511" t="s">
        <v>411</v>
      </c>
      <c r="K214" s="511"/>
      <c r="L214" s="261"/>
      <c r="M214" s="671">
        <f t="shared" si="71"/>
        <v>0.16125796135144399</v>
      </c>
      <c r="N214" s="672">
        <v>0.117461362952581</v>
      </c>
      <c r="O214" s="514">
        <v>4.3796598398863004E-2</v>
      </c>
      <c r="P214" s="514">
        <v>0</v>
      </c>
      <c r="Q214" s="673">
        <f t="shared" si="72"/>
        <v>0.72840659752969883</v>
      </c>
      <c r="R214" s="674">
        <f t="shared" si="92"/>
        <v>0.22863029799597406</v>
      </c>
      <c r="S214" s="674">
        <f t="shared" si="93"/>
        <v>2.4386271563499169</v>
      </c>
      <c r="T214" s="674">
        <f t="shared" si="94"/>
        <v>124.42393970859742</v>
      </c>
      <c r="U214" s="1022" t="s">
        <v>278</v>
      </c>
      <c r="V214" s="514">
        <v>53.1</v>
      </c>
      <c r="W214" s="675">
        <f t="shared" si="73"/>
        <v>0.12453541152471612</v>
      </c>
      <c r="X214" s="634">
        <f t="shared" si="91"/>
        <v>0.5</v>
      </c>
      <c r="Y214" s="676">
        <f t="shared" si="74"/>
        <v>0.11431514899798703</v>
      </c>
      <c r="Z214" s="640">
        <v>0.74</v>
      </c>
      <c r="AA214" s="1022">
        <f t="shared" si="75"/>
        <v>0.16918642051702079</v>
      </c>
      <c r="AB214" s="635">
        <f>IF(ISNA(VLOOKUP(K214,'Efficiency Lookup'!$D$2:$E$35,2,FALSE)),0,VLOOKUP(K214,'Efficiency Lookup'!$D$2:$E$35,2,FALSE))</f>
        <v>0</v>
      </c>
      <c r="AC214" s="139">
        <f t="shared" si="76"/>
        <v>0</v>
      </c>
      <c r="AD214" s="637">
        <f t="shared" si="77"/>
        <v>0.14067631065598488</v>
      </c>
      <c r="AE214" s="139">
        <f t="shared" si="78"/>
        <v>3.2162866826252044E-2</v>
      </c>
      <c r="AF214" s="516">
        <f t="shared" si="79"/>
        <v>0.16918642051702079</v>
      </c>
      <c r="AG214" s="634">
        <f>IF(ISNA(VLOOKUP(K214,'Efficiency Lookup'!$D$2:$G$35,3,FALSE)),0,VLOOKUP(K214,'Efficiency Lookup'!$D$2:$G$35,3,FALSE))</f>
        <v>0</v>
      </c>
      <c r="AH214" s="139">
        <f t="shared" si="80"/>
        <v>0</v>
      </c>
      <c r="AI214" s="521">
        <f t="shared" si="81"/>
        <v>8.9501626231829889E-2</v>
      </c>
      <c r="AJ214" s="1005">
        <f t="shared" si="82"/>
        <v>0.21826109626642046</v>
      </c>
      <c r="AK214" s="416">
        <f t="shared" si="70"/>
        <v>0.21826109626642046</v>
      </c>
      <c r="AL214" s="634">
        <f>IF(ISNA(VLOOKUP(K214,'Efficiency Lookup'!$D$2:$G$35,4,FALSE)),0,VLOOKUP(K214,'Efficiency Lookup'!$D$2:$G$35,4,FALSE))</f>
        <v>0</v>
      </c>
      <c r="AM214" s="139">
        <f t="shared" si="83"/>
        <v>0</v>
      </c>
      <c r="AN214" s="521">
        <f t="shared" si="84"/>
        <v>0.1791015324670831</v>
      </c>
      <c r="AO214" s="1005">
        <f t="shared" si="85"/>
        <v>22.284518277401752</v>
      </c>
      <c r="AP214" s="647">
        <f t="shared" si="86"/>
        <v>22.284518277401752</v>
      </c>
      <c r="AQ214" s="789">
        <f t="shared" si="87"/>
        <v>0.16918642051702079</v>
      </c>
      <c r="AR214" s="789">
        <f t="shared" si="88"/>
        <v>0.21826109626642046</v>
      </c>
      <c r="AS214" s="790">
        <f t="shared" si="89"/>
        <v>22.284518277401752</v>
      </c>
    </row>
    <row r="215" spans="1:45" ht="30" x14ac:dyDescent="0.25">
      <c r="A215" s="261"/>
      <c r="B215" s="510">
        <v>38.043396999999999</v>
      </c>
      <c r="C215" s="510">
        <v>-78.520904000000002</v>
      </c>
      <c r="D215" s="510" t="s">
        <v>296</v>
      </c>
      <c r="E215" s="511">
        <v>128.1</v>
      </c>
      <c r="F215" s="669">
        <v>40021</v>
      </c>
      <c r="G215" s="510" t="s">
        <v>289</v>
      </c>
      <c r="H215" s="511" t="s">
        <v>679</v>
      </c>
      <c r="I215" s="511" t="str">
        <f t="shared" si="90"/>
        <v>Filterra</v>
      </c>
      <c r="J215" s="511" t="s">
        <v>411</v>
      </c>
      <c r="K215" s="511"/>
      <c r="L215" s="261"/>
      <c r="M215" s="671">
        <f t="shared" si="71"/>
        <v>0.15404187536110001</v>
      </c>
      <c r="N215" s="672">
        <v>0.115257552505</v>
      </c>
      <c r="O215" s="514">
        <v>3.8784322856099999E-2</v>
      </c>
      <c r="P215" s="514">
        <v>0</v>
      </c>
      <c r="Q215" s="673">
        <f t="shared" si="72"/>
        <v>0.74822221058278437</v>
      </c>
      <c r="R215" s="674">
        <f t="shared" si="92"/>
        <v>0.22224545383685002</v>
      </c>
      <c r="S215" s="674">
        <f t="shared" si="93"/>
        <v>2.3436345035910753</v>
      </c>
      <c r="T215" s="674">
        <f t="shared" si="94"/>
        <v>118.92847141675347</v>
      </c>
      <c r="U215" s="1022" t="s">
        <v>278</v>
      </c>
      <c r="V215" s="514">
        <v>53.1</v>
      </c>
      <c r="W215" s="675">
        <f t="shared" si="73"/>
        <v>0.12691662156299161</v>
      </c>
      <c r="X215" s="634">
        <f t="shared" si="91"/>
        <v>0.5</v>
      </c>
      <c r="Y215" s="676">
        <f t="shared" si="74"/>
        <v>0.11112272691842501</v>
      </c>
      <c r="Z215" s="640">
        <v>0.74</v>
      </c>
      <c r="AA215" s="1022">
        <f t="shared" si="75"/>
        <v>0.16446163583926901</v>
      </c>
      <c r="AB215" s="635">
        <f>IF(ISNA(VLOOKUP(K215,'Efficiency Lookup'!$D$2:$E$35,2,FALSE)),0,VLOOKUP(K215,'Efficiency Lookup'!$D$2:$E$35,2,FALSE))</f>
        <v>0</v>
      </c>
      <c r="AC215" s="139">
        <f t="shared" si="76"/>
        <v>0</v>
      </c>
      <c r="AD215" s="637">
        <f t="shared" si="77"/>
        <v>0.14315582312984906</v>
      </c>
      <c r="AE215" s="139">
        <f t="shared" si="78"/>
        <v>3.1815730880881132E-2</v>
      </c>
      <c r="AF215" s="516">
        <f t="shared" si="79"/>
        <v>0.16446163583926901</v>
      </c>
      <c r="AG215" s="634">
        <f>IF(ISNA(VLOOKUP(K215,'Efficiency Lookup'!$D$2:$G$35,3,FALSE)),0,VLOOKUP(K215,'Efficiency Lookup'!$D$2:$G$35,3,FALSE))</f>
        <v>0</v>
      </c>
      <c r="AH215" s="139">
        <f t="shared" si="80"/>
        <v>0</v>
      </c>
      <c r="AI215" s="521">
        <f t="shared" si="81"/>
        <v>9.1079486145162508E-2</v>
      </c>
      <c r="AJ215" s="1005">
        <f t="shared" si="82"/>
        <v>0.21345702629914814</v>
      </c>
      <c r="AK215" s="416">
        <f t="shared" si="70"/>
        <v>0.21345702629914814</v>
      </c>
      <c r="AL215" s="634">
        <f>IF(ISNA(VLOOKUP(K215,'Efficiency Lookup'!$D$2:$G$35,4,FALSE)),0,VLOOKUP(K215,'Efficiency Lookup'!$D$2:$G$35,4,FALSE))</f>
        <v>0</v>
      </c>
      <c r="AM215" s="139">
        <f t="shared" si="83"/>
        <v>0</v>
      </c>
      <c r="AN215" s="521">
        <f t="shared" si="84"/>
        <v>0.1822571830185355</v>
      </c>
      <c r="AO215" s="1005">
        <f t="shared" si="85"/>
        <v>21.675568181117903</v>
      </c>
      <c r="AP215" s="647">
        <f t="shared" si="86"/>
        <v>21.675568181117903</v>
      </c>
      <c r="AQ215" s="789">
        <f t="shared" si="87"/>
        <v>0.16446163583926901</v>
      </c>
      <c r="AR215" s="789">
        <f t="shared" si="88"/>
        <v>0.21345702629914814</v>
      </c>
      <c r="AS215" s="790">
        <f t="shared" si="89"/>
        <v>21.675568181117903</v>
      </c>
    </row>
    <row r="216" spans="1:45" ht="30" x14ac:dyDescent="0.25">
      <c r="A216" s="261"/>
      <c r="B216" s="510">
        <v>38.043318999999997</v>
      </c>
      <c r="C216" s="510">
        <v>-78.520138000000003</v>
      </c>
      <c r="D216" s="510" t="s">
        <v>296</v>
      </c>
      <c r="E216" s="511">
        <v>128.11000000000001</v>
      </c>
      <c r="F216" s="669">
        <v>40021</v>
      </c>
      <c r="G216" s="510" t="s">
        <v>289</v>
      </c>
      <c r="H216" s="511" t="s">
        <v>679</v>
      </c>
      <c r="I216" s="511" t="str">
        <f t="shared" si="90"/>
        <v>Filterra</v>
      </c>
      <c r="J216" s="511" t="s">
        <v>411</v>
      </c>
      <c r="K216" s="511"/>
      <c r="L216" s="261"/>
      <c r="M216" s="671">
        <f t="shared" si="71"/>
        <v>6.49638257967E-2</v>
      </c>
      <c r="N216" s="672">
        <v>5.0053695763999997E-2</v>
      </c>
      <c r="O216" s="514">
        <v>1.49101300327E-2</v>
      </c>
      <c r="P216" s="514">
        <v>0</v>
      </c>
      <c r="Q216" s="673">
        <f t="shared" si="72"/>
        <v>0.7704856533640696</v>
      </c>
      <c r="R216" s="674">
        <f t="shared" si="92"/>
        <v>9.5549569560989991E-2</v>
      </c>
      <c r="S216" s="674">
        <f t="shared" si="93"/>
        <v>0.995073564498545</v>
      </c>
      <c r="T216" s="674">
        <f t="shared" si="94"/>
        <v>50.189785664573542</v>
      </c>
      <c r="U216" s="1022" t="s">
        <v>278</v>
      </c>
      <c r="V216" s="514">
        <v>53.1</v>
      </c>
      <c r="W216" s="675">
        <f t="shared" si="73"/>
        <v>0.29224813373470526</v>
      </c>
      <c r="X216" s="634">
        <f t="shared" si="91"/>
        <v>0.5</v>
      </c>
      <c r="Y216" s="676">
        <f t="shared" si="74"/>
        <v>4.7774784780494996E-2</v>
      </c>
      <c r="Z216" s="640">
        <v>0.76</v>
      </c>
      <c r="AA216" s="1022">
        <f t="shared" si="75"/>
        <v>7.2617672866352401E-2</v>
      </c>
      <c r="AB216" s="635">
        <f>IF(ISNA(VLOOKUP(K216,'Efficiency Lookup'!$D$2:$E$35,2,FALSE)),0,VLOOKUP(K216,'Efficiency Lookup'!$D$2:$E$35,2,FALSE))</f>
        <v>0</v>
      </c>
      <c r="AC216" s="139">
        <f t="shared" si="76"/>
        <v>0</v>
      </c>
      <c r="AD216" s="637">
        <f t="shared" si="77"/>
        <v>0.2883504706546971</v>
      </c>
      <c r="AE216" s="139">
        <f t="shared" si="78"/>
        <v>2.7551763353765184E-2</v>
      </c>
      <c r="AF216" s="516">
        <f t="shared" si="79"/>
        <v>7.2617672866352401E-2</v>
      </c>
      <c r="AG216" s="634">
        <f>IF(ISNA(VLOOKUP(K216,'Efficiency Lookup'!$D$2:$G$35,3,FALSE)),0,VLOOKUP(K216,'Efficiency Lookup'!$D$2:$G$35,3,FALSE))</f>
        <v>0</v>
      </c>
      <c r="AH216" s="139">
        <f t="shared" si="80"/>
        <v>0</v>
      </c>
      <c r="AI216" s="521">
        <f t="shared" si="81"/>
        <v>0.18347699078956856</v>
      </c>
      <c r="AJ216" s="1005">
        <f t="shared" si="82"/>
        <v>0.1825731032284427</v>
      </c>
      <c r="AK216" s="416">
        <f t="shared" si="70"/>
        <v>0.1825731032284427</v>
      </c>
      <c r="AL216" s="634">
        <f>IF(ISNA(VLOOKUP(K216,'Efficiency Lookup'!$D$2:$G$35,4,FALSE)),0,VLOOKUP(K216,'Efficiency Lookup'!$D$2:$G$35,4,FALSE))</f>
        <v>0</v>
      </c>
      <c r="AM216" s="139">
        <f t="shared" si="83"/>
        <v>0</v>
      </c>
      <c r="AN216" s="521">
        <f t="shared" si="84"/>
        <v>0.36704367408995664</v>
      </c>
      <c r="AO216" s="1005">
        <f t="shared" si="85"/>
        <v>18.421843332112509</v>
      </c>
      <c r="AP216" s="647">
        <f t="shared" si="86"/>
        <v>18.421843332112509</v>
      </c>
      <c r="AQ216" s="789">
        <f t="shared" si="87"/>
        <v>7.2617672866352401E-2</v>
      </c>
      <c r="AR216" s="789">
        <f t="shared" si="88"/>
        <v>0.1825731032284427</v>
      </c>
      <c r="AS216" s="790">
        <f t="shared" si="89"/>
        <v>18.421843332112509</v>
      </c>
    </row>
    <row r="217" spans="1:45" ht="30" x14ac:dyDescent="0.25">
      <c r="A217" s="261"/>
      <c r="B217" s="510">
        <v>38.043267999999998</v>
      </c>
      <c r="C217" s="510">
        <v>-78.520177000000004</v>
      </c>
      <c r="D217" s="510" t="s">
        <v>296</v>
      </c>
      <c r="E217" s="511">
        <v>128.12</v>
      </c>
      <c r="F217" s="669">
        <v>40021</v>
      </c>
      <c r="G217" s="510" t="s">
        <v>289</v>
      </c>
      <c r="H217" s="511" t="s">
        <v>679</v>
      </c>
      <c r="I217" s="511" t="str">
        <f t="shared" si="90"/>
        <v>Filterra</v>
      </c>
      <c r="J217" s="511" t="s">
        <v>411</v>
      </c>
      <c r="K217" s="511"/>
      <c r="L217" s="261"/>
      <c r="M217" s="671">
        <f t="shared" si="71"/>
        <v>9.8675183003746003E-2</v>
      </c>
      <c r="N217" s="672">
        <v>7.4900818472800001E-2</v>
      </c>
      <c r="O217" s="514">
        <v>2.3774364530945998E-2</v>
      </c>
      <c r="P217" s="514">
        <v>0</v>
      </c>
      <c r="Q217" s="673">
        <f t="shared" si="72"/>
        <v>0.75906439889710209</v>
      </c>
      <c r="R217" s="674">
        <f t="shared" si="92"/>
        <v>0.143712622777601</v>
      </c>
      <c r="S217" s="674">
        <f t="shared" si="93"/>
        <v>1.5062241898230797</v>
      </c>
      <c r="T217" s="674">
        <f t="shared" si="94"/>
        <v>76.20781344119105</v>
      </c>
      <c r="U217" s="1022" t="s">
        <v>278</v>
      </c>
      <c r="V217" s="514">
        <v>53.1</v>
      </c>
      <c r="W217" s="675">
        <f t="shared" si="73"/>
        <v>0.1952995904693067</v>
      </c>
      <c r="X217" s="634">
        <f t="shared" si="91"/>
        <v>0.5</v>
      </c>
      <c r="Y217" s="676">
        <f t="shared" si="74"/>
        <v>7.1856311388800498E-2</v>
      </c>
      <c r="Z217" s="640">
        <v>0.8</v>
      </c>
      <c r="AA217" s="1022">
        <f t="shared" si="75"/>
        <v>0.1149700982220808</v>
      </c>
      <c r="AB217" s="635">
        <f>IF(ISNA(VLOOKUP(K217,'Efficiency Lookup'!$D$2:$E$35,2,FALSE)),0,VLOOKUP(K217,'Efficiency Lookup'!$D$2:$E$35,2,FALSE))</f>
        <v>0</v>
      </c>
      <c r="AC217" s="139">
        <f t="shared" si="76"/>
        <v>0</v>
      </c>
      <c r="AD217" s="637">
        <f t="shared" si="77"/>
        <v>0.20938616727477397</v>
      </c>
      <c r="AE217" s="139">
        <f t="shared" si="78"/>
        <v>3.0091435272407253E-2</v>
      </c>
      <c r="AF217" s="516">
        <f t="shared" si="79"/>
        <v>0.1149700982220808</v>
      </c>
      <c r="AG217" s="634">
        <f>IF(ISNA(VLOOKUP(K217,'Efficiency Lookup'!$D$2:$G$35,3,FALSE)),0,VLOOKUP(K217,'Efficiency Lookup'!$D$2:$G$35,3,FALSE))</f>
        <v>0</v>
      </c>
      <c r="AH217" s="139">
        <f t="shared" si="80"/>
        <v>0</v>
      </c>
      <c r="AI217" s="521">
        <f t="shared" si="81"/>
        <v>0.13322602692608659</v>
      </c>
      <c r="AJ217" s="1005">
        <f t="shared" si="82"/>
        <v>0.20066826447009259</v>
      </c>
      <c r="AK217" s="416">
        <f t="shared" si="70"/>
        <v>0.20066826447009259</v>
      </c>
      <c r="AL217" s="634">
        <f>IF(ISNA(VLOOKUP(K217,'Efficiency Lookup'!$D$2:$G$35,4,FALSE)),0,VLOOKUP(K217,'Efficiency Lookup'!$D$2:$G$35,4,FALSE))</f>
        <v>0</v>
      </c>
      <c r="AM217" s="139">
        <f t="shared" si="83"/>
        <v>0</v>
      </c>
      <c r="AN217" s="521">
        <f t="shared" si="84"/>
        <v>0.26654764022952054</v>
      </c>
      <c r="AO217" s="1005">
        <f t="shared" si="85"/>
        <v>20.313012839801011</v>
      </c>
      <c r="AP217" s="647">
        <f t="shared" si="86"/>
        <v>20.313012839801011</v>
      </c>
      <c r="AQ217" s="789">
        <f t="shared" si="87"/>
        <v>0.1149700982220808</v>
      </c>
      <c r="AR217" s="789">
        <f t="shared" si="88"/>
        <v>0.20066826447009259</v>
      </c>
      <c r="AS217" s="790">
        <f t="shared" si="89"/>
        <v>20.313012839801011</v>
      </c>
    </row>
    <row r="218" spans="1:45" ht="30" x14ac:dyDescent="0.25">
      <c r="A218" s="261"/>
      <c r="B218" s="510">
        <v>38.043115</v>
      </c>
      <c r="C218" s="510">
        <v>-78.520297999999997</v>
      </c>
      <c r="D218" s="510" t="s">
        <v>296</v>
      </c>
      <c r="E218" s="511">
        <v>128.13</v>
      </c>
      <c r="F218" s="669">
        <v>40021</v>
      </c>
      <c r="G218" s="510" t="s">
        <v>289</v>
      </c>
      <c r="H218" s="511" t="s">
        <v>679</v>
      </c>
      <c r="I218" s="511" t="str">
        <f t="shared" si="90"/>
        <v>Filterra</v>
      </c>
      <c r="J218" s="511" t="s">
        <v>411</v>
      </c>
      <c r="K218" s="511"/>
      <c r="L218" s="261"/>
      <c r="M218" s="671">
        <f t="shared" si="71"/>
        <v>3.3942056511418003E-2</v>
      </c>
      <c r="N218" s="672">
        <v>3.19228080165E-2</v>
      </c>
      <c r="O218" s="514">
        <v>2.0192484949180002E-3</v>
      </c>
      <c r="P218" s="514">
        <v>0</v>
      </c>
      <c r="Q218" s="673">
        <f t="shared" si="72"/>
        <v>0.94050895253684075</v>
      </c>
      <c r="R218" s="674">
        <f t="shared" si="92"/>
        <v>5.7193766356498997E-2</v>
      </c>
      <c r="S218" s="674">
        <f t="shared" si="93"/>
        <v>0.5466217651255566</v>
      </c>
      <c r="T218" s="674">
        <f t="shared" si="94"/>
        <v>26.359742617683882</v>
      </c>
      <c r="U218" s="1022" t="s">
        <v>278</v>
      </c>
      <c r="V218" s="514">
        <v>53.1</v>
      </c>
      <c r="W218" s="675">
        <f t="shared" si="73"/>
        <v>0.45823347263163283</v>
      </c>
      <c r="X218" s="634">
        <f t="shared" si="91"/>
        <v>0.5</v>
      </c>
      <c r="Y218" s="676">
        <f t="shared" si="74"/>
        <v>2.8596883178249499E-2</v>
      </c>
      <c r="Z218" s="640">
        <v>0.73</v>
      </c>
      <c r="AA218" s="1022">
        <f t="shared" si="75"/>
        <v>4.1751449440244268E-2</v>
      </c>
      <c r="AB218" s="635">
        <f>IF(ISNA(VLOOKUP(K218,'Efficiency Lookup'!$D$2:$E$35,2,FALSE)),0,VLOOKUP(K218,'Efficiency Lookup'!$D$2:$E$35,2,FALSE))</f>
        <v>0</v>
      </c>
      <c r="AC218" s="139">
        <f t="shared" si="76"/>
        <v>0</v>
      </c>
      <c r="AD218" s="637">
        <f t="shared" si="77"/>
        <v>0.39036196753596264</v>
      </c>
      <c r="AE218" s="139">
        <f t="shared" si="78"/>
        <v>2.2326271165715093E-2</v>
      </c>
      <c r="AF218" s="516">
        <f t="shared" si="79"/>
        <v>4.1751449440244268E-2</v>
      </c>
      <c r="AG218" s="634">
        <f>IF(ISNA(VLOOKUP(K218,'Efficiency Lookup'!$D$2:$G$35,3,FALSE)),0,VLOOKUP(K218,'Efficiency Lookup'!$D$2:$G$35,3,FALSE))</f>
        <v>0</v>
      </c>
      <c r="AH218" s="139">
        <f t="shared" si="80"/>
        <v>0</v>
      </c>
      <c r="AI218" s="521">
        <f t="shared" si="81"/>
        <v>0.24839777889045683</v>
      </c>
      <c r="AJ218" s="1005">
        <f t="shared" si="82"/>
        <v>0.13577963235036924</v>
      </c>
      <c r="AK218" s="416">
        <f t="shared" si="70"/>
        <v>0.13577963235036924</v>
      </c>
      <c r="AL218" s="634">
        <f>IF(ISNA(VLOOKUP(K218,'Efficiency Lookup'!$D$2:$G$35,4,FALSE)),0,VLOOKUP(K218,'Efficiency Lookup'!$D$2:$G$35,4,FALSE))</f>
        <v>0</v>
      </c>
      <c r="AM218" s="139">
        <f t="shared" si="83"/>
        <v>0</v>
      </c>
      <c r="AN218" s="521">
        <f t="shared" si="84"/>
        <v>0.49686934717093012</v>
      </c>
      <c r="AO218" s="1005">
        <f t="shared" si="85"/>
        <v>13.097348106042334</v>
      </c>
      <c r="AP218" s="647">
        <f t="shared" si="86"/>
        <v>13.097348106042334</v>
      </c>
      <c r="AQ218" s="789">
        <f t="shared" si="87"/>
        <v>4.1751449440244268E-2</v>
      </c>
      <c r="AR218" s="789">
        <f t="shared" si="88"/>
        <v>0.13577963235036924</v>
      </c>
      <c r="AS218" s="790">
        <f t="shared" si="89"/>
        <v>13.097348106042334</v>
      </c>
    </row>
    <row r="219" spans="1:45" ht="30" x14ac:dyDescent="0.25">
      <c r="A219" s="261"/>
      <c r="B219" s="510">
        <v>38.043737999999998</v>
      </c>
      <c r="C219" s="510">
        <v>-78.521541999999997</v>
      </c>
      <c r="D219" s="510" t="s">
        <v>296</v>
      </c>
      <c r="E219" s="511">
        <v>128.15</v>
      </c>
      <c r="F219" s="669">
        <v>40021</v>
      </c>
      <c r="G219" s="510" t="s">
        <v>289</v>
      </c>
      <c r="H219" s="511" t="s">
        <v>708</v>
      </c>
      <c r="I219" s="511" t="str">
        <f t="shared" si="90"/>
        <v>Filterra</v>
      </c>
      <c r="J219" s="511" t="s">
        <v>411</v>
      </c>
      <c r="K219" s="511"/>
      <c r="L219" s="261"/>
      <c r="M219" s="671">
        <f t="shared" si="71"/>
        <v>4.9137607023179999E-2</v>
      </c>
      <c r="N219" s="672">
        <v>4.9041529374605E-2</v>
      </c>
      <c r="O219" s="514">
        <v>9.6077648575000003E-5</v>
      </c>
      <c r="P219" s="514">
        <v>0</v>
      </c>
      <c r="Q219" s="673">
        <f t="shared" si="72"/>
        <v>0.99804472267992872</v>
      </c>
      <c r="R219" s="674">
        <f t="shared" si="92"/>
        <v>8.6361130523592303E-2</v>
      </c>
      <c r="S219" s="674">
        <f t="shared" si="93"/>
        <v>0.80442916352678617</v>
      </c>
      <c r="T219" s="674">
        <f t="shared" si="94"/>
        <v>38.227763975903272</v>
      </c>
      <c r="U219" s="1022" t="s">
        <v>278</v>
      </c>
      <c r="V219" s="514">
        <f>35.4</f>
        <v>35.4</v>
      </c>
      <c r="W219" s="675">
        <f t="shared" si="73"/>
        <v>0.19885322175030609</v>
      </c>
      <c r="X219" s="634">
        <f t="shared" si="91"/>
        <v>0.5</v>
      </c>
      <c r="Y219" s="676">
        <f t="shared" si="74"/>
        <v>4.3180565261796151E-2</v>
      </c>
      <c r="Z219" s="640">
        <v>0.78</v>
      </c>
      <c r="AA219" s="1022">
        <f t="shared" si="75"/>
        <v>6.7361681808402005E-2</v>
      </c>
      <c r="AB219" s="635">
        <f>IF(ISNA(VLOOKUP(K219,'Efficiency Lookup'!$D$2:$E$35,2,FALSE)),0,VLOOKUP(K219,'Efficiency Lookup'!$D$2:$E$35,2,FALSE))</f>
        <v>0</v>
      </c>
      <c r="AC219" s="139">
        <f t="shared" si="76"/>
        <v>0</v>
      </c>
      <c r="AD219" s="637">
        <f t="shared" si="77"/>
        <v>0.21257635260154573</v>
      </c>
      <c r="AE219" s="139">
        <f t="shared" si="78"/>
        <v>1.8358334133251272E-2</v>
      </c>
      <c r="AF219" s="516">
        <f t="shared" si="79"/>
        <v>6.7361681808402005E-2</v>
      </c>
      <c r="AG219" s="634">
        <f>IF(ISNA(VLOOKUP(K219,'Efficiency Lookup'!$D$2:$G$35,3,FALSE)),0,VLOOKUP(K219,'Efficiency Lookup'!$D$2:$G$35,3,FALSE))</f>
        <v>0</v>
      </c>
      <c r="AH219" s="139">
        <f t="shared" si="80"/>
        <v>0</v>
      </c>
      <c r="AI219" s="521">
        <f t="shared" si="81"/>
        <v>0.13525615853776432</v>
      </c>
      <c r="AJ219" s="1005">
        <f t="shared" si="82"/>
        <v>0.10880399847438013</v>
      </c>
      <c r="AK219" s="416">
        <f t="shared" si="70"/>
        <v>0.10880399847438013</v>
      </c>
      <c r="AL219" s="634">
        <f>IF(ISNA(VLOOKUP(K219,'Efficiency Lookup'!$D$2:$G$35,4,FALSE)),0,VLOOKUP(K219,'Efficiency Lookup'!$D$2:$G$35,4,FALSE))</f>
        <v>0</v>
      </c>
      <c r="AM219" s="139">
        <f t="shared" si="83"/>
        <v>0</v>
      </c>
      <c r="AN219" s="521">
        <f t="shared" si="84"/>
        <v>0.27060773285948392</v>
      </c>
      <c r="AO219" s="1005">
        <f t="shared" si="85"/>
        <v>10.344728541806635</v>
      </c>
      <c r="AP219" s="647">
        <f t="shared" si="86"/>
        <v>10.344728541806635</v>
      </c>
      <c r="AQ219" s="789">
        <f t="shared" si="87"/>
        <v>6.7361681808402005E-2</v>
      </c>
      <c r="AR219" s="789">
        <f t="shared" si="88"/>
        <v>0.10880399847438013</v>
      </c>
      <c r="AS219" s="790">
        <f t="shared" si="89"/>
        <v>10.344728541806635</v>
      </c>
    </row>
    <row r="220" spans="1:45" x14ac:dyDescent="0.25">
      <c r="A220" s="261"/>
      <c r="B220" s="510" t="s">
        <v>297</v>
      </c>
      <c r="C220" s="510" t="s">
        <v>297</v>
      </c>
      <c r="D220" s="510" t="s">
        <v>297</v>
      </c>
      <c r="E220" s="511"/>
      <c r="F220" s="705"/>
      <c r="G220" s="510"/>
      <c r="H220" s="511"/>
      <c r="I220" s="261" t="str">
        <f t="shared" si="90"/>
        <v/>
      </c>
      <c r="J220" s="511"/>
      <c r="K220" s="511"/>
      <c r="L220" s="510"/>
      <c r="M220" s="510"/>
      <c r="N220" s="672"/>
      <c r="O220" s="514"/>
      <c r="P220" s="514" t="s">
        <v>297</v>
      </c>
      <c r="Q220" s="688"/>
      <c r="R220" s="674"/>
      <c r="S220" s="674"/>
      <c r="T220" s="674"/>
      <c r="U220" s="1022"/>
      <c r="V220" s="514"/>
      <c r="W220" s="675"/>
      <c r="X220" s="636" t="str">
        <f t="shared" si="91"/>
        <v/>
      </c>
      <c r="Y220" s="706"/>
      <c r="Z220" s="640"/>
      <c r="AA220" s="1022"/>
      <c r="AB220" s="637"/>
      <c r="AC220" s="637"/>
      <c r="AD220" s="637"/>
      <c r="AE220" s="139"/>
      <c r="AF220" s="642"/>
      <c r="AG220" s="583"/>
      <c r="AH220" s="139"/>
      <c r="AI220" s="637"/>
      <c r="AJ220" s="139"/>
      <c r="AK220" s="416" t="str">
        <f t="shared" si="70"/>
        <v/>
      </c>
      <c r="AL220" s="642"/>
      <c r="AM220" s="637"/>
      <c r="AN220" s="637"/>
      <c r="AO220" s="139"/>
      <c r="AP220" s="647"/>
      <c r="AQ220" s="789"/>
      <c r="AR220" s="789"/>
      <c r="AS220" s="790"/>
    </row>
    <row r="221" spans="1:45" x14ac:dyDescent="0.25">
      <c r="A221" s="628"/>
      <c r="B221" s="668" t="s">
        <v>297</v>
      </c>
      <c r="C221" s="668" t="s">
        <v>297</v>
      </c>
      <c r="D221" s="668" t="s">
        <v>297</v>
      </c>
      <c r="E221" s="710"/>
      <c r="F221" s="711"/>
      <c r="G221" s="668"/>
      <c r="H221" s="712"/>
      <c r="I221" s="712" t="str">
        <f t="shared" si="90"/>
        <v/>
      </c>
      <c r="J221" s="712"/>
      <c r="K221" s="712"/>
      <c r="L221" s="712"/>
      <c r="M221" s="712"/>
      <c r="N221" s="712"/>
      <c r="O221" s="712"/>
      <c r="P221" s="712"/>
      <c r="Q221" s="712"/>
      <c r="R221" s="712"/>
      <c r="S221" s="712"/>
      <c r="T221" s="712"/>
      <c r="U221" s="712"/>
      <c r="V221" s="712"/>
      <c r="W221" s="712"/>
      <c r="X221" s="760" t="str">
        <f t="shared" si="91"/>
        <v/>
      </c>
      <c r="Y221" s="713"/>
      <c r="Z221" s="712"/>
      <c r="AA221" s="712"/>
      <c r="AB221" s="638"/>
      <c r="AC221" s="638"/>
      <c r="AD221" s="638"/>
      <c r="AE221" s="629"/>
      <c r="AF221" s="666"/>
      <c r="AG221" s="666"/>
      <c r="AH221" s="629"/>
      <c r="AI221" s="638"/>
      <c r="AJ221" s="629"/>
      <c r="AK221" s="639" t="str">
        <f t="shared" si="70"/>
        <v/>
      </c>
      <c r="AL221" s="644"/>
      <c r="AM221" s="638"/>
      <c r="AN221" s="638"/>
      <c r="AO221" s="629"/>
      <c r="AP221" s="648"/>
      <c r="AQ221" s="791"/>
      <c r="AR221" s="791"/>
      <c r="AS221" s="792"/>
    </row>
    <row r="222" spans="1:45" ht="14.45" customHeight="1" x14ac:dyDescent="0.25">
      <c r="A222" s="261"/>
      <c r="B222" s="510" t="s">
        <v>297</v>
      </c>
      <c r="C222" s="510" t="s">
        <v>297</v>
      </c>
      <c r="D222" s="510" t="s">
        <v>297</v>
      </c>
      <c r="E222" s="704"/>
      <c r="F222" s="705"/>
      <c r="G222" s="510"/>
      <c r="H222" s="511"/>
      <c r="I222" s="261" t="str">
        <f t="shared" si="90"/>
        <v/>
      </c>
      <c r="J222" s="511"/>
      <c r="K222" s="511"/>
      <c r="L222" s="510"/>
      <c r="M222" s="510"/>
      <c r="N222" s="672"/>
      <c r="O222" s="514"/>
      <c r="P222" s="514" t="s">
        <v>297</v>
      </c>
      <c r="Q222" s="688"/>
      <c r="R222" s="674"/>
      <c r="S222" s="674"/>
      <c r="T222" s="674"/>
      <c r="U222" s="1022"/>
      <c r="V222" s="514"/>
      <c r="W222" s="675"/>
      <c r="X222" s="636" t="str">
        <f t="shared" si="91"/>
        <v/>
      </c>
      <c r="Y222" s="706"/>
      <c r="Z222" s="640"/>
      <c r="AA222" s="1022"/>
      <c r="AB222" s="637"/>
      <c r="AC222" s="637"/>
      <c r="AD222" s="637"/>
      <c r="AE222" s="139"/>
      <c r="AF222" s="642"/>
      <c r="AG222" s="583"/>
      <c r="AH222" s="139"/>
      <c r="AI222" s="637"/>
      <c r="AJ222" s="139"/>
      <c r="AK222" s="416" t="str">
        <f t="shared" si="70"/>
        <v/>
      </c>
      <c r="AL222" s="642"/>
      <c r="AM222" s="637"/>
      <c r="AN222" s="637"/>
      <c r="AO222" s="139"/>
      <c r="AP222" s="647"/>
      <c r="AQ222" s="789"/>
      <c r="AR222" s="789"/>
      <c r="AS222" s="790"/>
    </row>
    <row r="223" spans="1:45" ht="30" x14ac:dyDescent="0.25">
      <c r="A223" s="261" t="s">
        <v>711</v>
      </c>
      <c r="B223" s="510">
        <v>38.007140999999997</v>
      </c>
      <c r="C223" s="510">
        <v>-78.519467000000006</v>
      </c>
      <c r="D223" s="510" t="s">
        <v>296</v>
      </c>
      <c r="E223" s="511">
        <v>44.02</v>
      </c>
      <c r="F223" s="669">
        <v>39212</v>
      </c>
      <c r="G223" s="510" t="s">
        <v>281</v>
      </c>
      <c r="H223" s="670"/>
      <c r="I223" s="511"/>
      <c r="J223" s="511" t="s">
        <v>343</v>
      </c>
      <c r="K223" s="511" t="s">
        <v>315</v>
      </c>
      <c r="L223" s="671"/>
      <c r="M223" s="671">
        <f>N223+O223+P223</f>
        <v>0.5874571382796</v>
      </c>
      <c r="N223" s="672">
        <v>0.32001344199359999</v>
      </c>
      <c r="O223" s="514">
        <v>0.16248186603000001</v>
      </c>
      <c r="P223" s="514">
        <v>0.104961830256</v>
      </c>
      <c r="Q223" s="673">
        <f>+N223/M223</f>
        <v>0.54474347342305973</v>
      </c>
      <c r="R223" s="674">
        <f>IF(L222="TT",(1.76*N223+0.5*O223+0.13*P223)-AF222,1.76*N223+0.5*O223+0.13*P223)</f>
        <v>0.65810962885701596</v>
      </c>
      <c r="S223" s="674">
        <f>IF(L222="TT",(M223*9.39+N223*6.99+O223*2.36)-AK222,M223*9.39+N223*6.99+O223*2.36)</f>
        <v>8.1365736918115079</v>
      </c>
      <c r="T223" s="674">
        <f>IF(L222="TT",(M223*676.94+N223*101.08+O223*77.38)-AP222,M223*676.94+N223*101.08+O223*77.38)</f>
        <v>442.59304069710691</v>
      </c>
      <c r="U223" s="1022" t="s">
        <v>285</v>
      </c>
      <c r="V223" s="514" t="s">
        <v>295</v>
      </c>
      <c r="W223" s="675">
        <f>IF(V223="NA", 0, (V223)*12/N223/43560)</f>
        <v>0</v>
      </c>
      <c r="X223" s="634" t="str">
        <f t="shared" si="91"/>
        <v>NA</v>
      </c>
      <c r="Y223" s="676">
        <f>IF(X223="NA",0,R223*X223)</f>
        <v>0</v>
      </c>
      <c r="Z223" s="635">
        <f>IF(ISNA(VLOOKUP(J223,'Efficiency Lookup'!$B$2:$C$38,2,FALSE)),0,(VLOOKUP(J223,'Efficiency Lookup'!$B$2:$C$38,2,FALSE)))</f>
        <v>0.5</v>
      </c>
      <c r="AA223" s="139">
        <f>R223*Z223</f>
        <v>0.32905481442850798</v>
      </c>
      <c r="AB223" s="1061">
        <f>IF(ISNA(VLOOKUP(K223,'Efficiency Lookup'!$D$2:$E$35,2,FALSE)),0,VLOOKUP(K223,'Efficiency Lookup'!$D$2:$E$35,2,FALSE))</f>
        <v>0.75</v>
      </c>
      <c r="AC223" s="1005">
        <f>R223*AB223</f>
        <v>0.493582221642762</v>
      </c>
      <c r="AD223" s="637">
        <f>IF(U223="RR",IF((0.0304*(W223^5)-0.2619*(W223^4)+0.9161*(W223^3)-1.6837*(W223^2)+1.7072*W223-0.0091)&gt;0.85,0.85,IF((0.0304*(W223^5)-0.2619*(W223^4)+0.9161*(W223^3)-1.6837*(W223^2)+1.7072*W223-0.0091)&lt;0,0,(0.0304*(W223^5)-0.2619*(W223^4)+0.9161*(W223^3)-1.6837*(W223^2)+1.7072*W223-0.0091))),IF((0.0239*(W223^5)-0.2058*(W223^4)+0.7198*(W223^3)-1.3229*(W223^2)+1.3414*W223-0.0072)&gt;0.65,0.65,IF((0.0239*(W223^5)-0.2058*(W223^4)+0.7198*(W223^3)-1.3229*(W223^2)+1.3414*W223-0.0072)&lt;0,0,(0.0239*(W223^5)-0.2058*(W223^4)+0.7198*(W223^3)-1.3229*(W223^2)+1.3414*W223-0.0072))))</f>
        <v>0</v>
      </c>
      <c r="AE223" s="139">
        <f>R223*AD223</f>
        <v>0</v>
      </c>
      <c r="AF223" s="516">
        <f>MAX(Y223,AA223,AC223,AE223)</f>
        <v>0.493582221642762</v>
      </c>
      <c r="AG223" s="641">
        <f>IF(ISNA(VLOOKUP(K223,'Efficiency Lookup'!$D$2:$G$35,3,FALSE)),0,VLOOKUP(K223,'Efficiency Lookup'!$D$2:$G$35,3,FALSE))</f>
        <v>0.7</v>
      </c>
      <c r="AH223" s="1005">
        <f>S223*AG223</f>
        <v>5.6956015842680552</v>
      </c>
      <c r="AI223" s="637">
        <f>IF(U223="RR",IF((0.0308*(W223^5)-0.2562*(W223^4)+0.8634*(W223^3)-1.5285*(W223^2)+1.501*W223-0.013)&gt;0.7,0.7,IF((0.0308*(W223^5)-0.2562*(W223^4)+0.8634*(W223^3)-1.5285*(W223^2)+1.501*W223-0.013)&lt;0,0,(0.0308*(W223^5)-0.2562*(W223^4)+0.8634*(W223^3)-1.5285*(W223^2)+1.501*W223-0.013))),IF((0.0152*(W223^5)-0.131*(W223^4)+0.4581*(W223^3)-0.8418*(W223^2)+0.8536*W223-0.0046)&gt;0.65,0.65,IF((0.0152*(W223^5)-0.131*(W223^4)+0.4581*(W223^3)-0.8418*(W223^2)+0.8536*W223-0.0046)&lt;0,0,(0.0152*(W223^5)-0.131*(W223^4)+0.4581*(W223^3)-0.8418*(W223^2)+0.8536*W223-0.0046))))</f>
        <v>0</v>
      </c>
      <c r="AJ223" s="139">
        <f>S223*AI223</f>
        <v>0</v>
      </c>
      <c r="AK223" s="416">
        <f t="shared" si="70"/>
        <v>5.6956015842680552</v>
      </c>
      <c r="AL223" s="641">
        <f>IF(ISNA(VLOOKUP(K223,'Efficiency Lookup'!$D$2:$G$35,4,FALSE)),0,VLOOKUP(K223,'Efficiency Lookup'!$D$2:$G$35,4,FALSE))</f>
        <v>0.8</v>
      </c>
      <c r="AM223" s="1005">
        <f>T223*AL223</f>
        <v>354.07443255768555</v>
      </c>
      <c r="AN223" s="637">
        <f>IF(U223="RR",IF((0.0326*(W223^5)-0.2806*(W223^4)+0.9816*(W223^3)-1.8039*(W223^2)+1.8292*W223-0.0098)&gt;0.85,0.85,IF((0.0326*(W223^5)-0.2806*(W223^4)+0.9816*(W223^3)-1.8039*(W223^2)+1.8292*W223-0.0098)&lt;0,0,(0.0326*(W223^5)-0.2806*(W223^4)+0.9816*(W223^3)-1.8039*(W223^2)+1.8292*W223-0.0098))),IF((0.0304*(W223^5)-0.2619*(W223^4)+0.9161*(W223^3)-1.6837*(W223^2)+1.7072*W223-0.0091)&gt;0.8,0.8,IF((0.0304*(W223^5)-0.2619*(W223^4)+0.9161*(W223^3)-1.6837*(W223^2)+1.7072*W223-0.0091)&lt;0,0,(0.0304*(W223^5)-0.2619*(W223^4)+0.9161*(W223^3)-1.6837*(W223^2)+1.7072*W223-0.0091))))</f>
        <v>0</v>
      </c>
      <c r="AO223" s="139">
        <f>T223*AN223</f>
        <v>0</v>
      </c>
      <c r="AP223" s="647">
        <f>IF(AK223=AH223,AM223,AO223)</f>
        <v>354.07443255768555</v>
      </c>
      <c r="AQ223" s="789">
        <f>IF(AF223&lt;0,0,AF223)</f>
        <v>0.493582221642762</v>
      </c>
      <c r="AR223" s="789">
        <f>IF(AK223&lt;0,0,AK223)</f>
        <v>5.6956015842680552</v>
      </c>
      <c r="AS223" s="790">
        <f>IF(AP223&lt;0,0,AP223)</f>
        <v>354.07443255768555</v>
      </c>
    </row>
    <row r="224" spans="1:45" ht="30" x14ac:dyDescent="0.25">
      <c r="A224" s="261" t="s">
        <v>711</v>
      </c>
      <c r="B224" s="510">
        <v>38.008198999999998</v>
      </c>
      <c r="C224" s="510">
        <v>-78.519216</v>
      </c>
      <c r="D224" s="510" t="s">
        <v>296</v>
      </c>
      <c r="E224" s="511">
        <v>44.03</v>
      </c>
      <c r="F224" s="669">
        <v>39212</v>
      </c>
      <c r="G224" s="510" t="s">
        <v>281</v>
      </c>
      <c r="H224" s="670"/>
      <c r="I224" s="511"/>
      <c r="J224" s="511" t="s">
        <v>343</v>
      </c>
      <c r="K224" s="511" t="s">
        <v>315</v>
      </c>
      <c r="L224" s="671"/>
      <c r="M224" s="671">
        <f>N224+O224+P224</f>
        <v>0.86846832228890003</v>
      </c>
      <c r="N224" s="672">
        <v>0.5720213769611</v>
      </c>
      <c r="O224" s="514">
        <v>0.23273393426399999</v>
      </c>
      <c r="P224" s="514">
        <v>6.3713011063800007E-2</v>
      </c>
      <c r="Q224" s="673">
        <f>+N224/M224</f>
        <v>0.6586554308089253</v>
      </c>
      <c r="R224" s="674">
        <f>IF(L223="TT",(1.76*N224+0.5*O224+0.13*P224)-AF223,1.76*N224+0.5*O224+0.13*P224)</f>
        <v>1.1314072820218302</v>
      </c>
      <c r="S224" s="674">
        <f>IF(L223="TT",(M224*9.39+N224*6.99+O224*2.36)-AK223,M224*9.39+N224*6.99+O224*2.36)</f>
        <v>12.702599056113902</v>
      </c>
      <c r="T224" s="674">
        <f>IF(L223="TT",(M224*676.94+N224*101.08+O224*77.38)-AP223,M224*676.94+N224*101.08+O224*77.38)</f>
        <v>663.72981870682429</v>
      </c>
      <c r="U224" s="1022" t="s">
        <v>285</v>
      </c>
      <c r="V224" s="514" t="s">
        <v>295</v>
      </c>
      <c r="W224" s="675">
        <f>IF(V224="NA", 0, (V224)*12/N224/43560)</f>
        <v>0</v>
      </c>
      <c r="X224" s="634" t="str">
        <f t="shared" si="91"/>
        <v>NA</v>
      </c>
      <c r="Y224" s="676">
        <f>IF(X224="NA",0,R224*X224)</f>
        <v>0</v>
      </c>
      <c r="Z224" s="635">
        <f>IF(ISNA(VLOOKUP(J224,'Efficiency Lookup'!$B$2:$C$38,2,FALSE)),0,(VLOOKUP(J224,'Efficiency Lookup'!$B$2:$C$38,2,FALSE)))</f>
        <v>0.5</v>
      </c>
      <c r="AA224" s="139">
        <f>R224*Z224</f>
        <v>0.56570364101091508</v>
      </c>
      <c r="AB224" s="1061">
        <f>IF(ISNA(VLOOKUP(K224,'Efficiency Lookup'!$D$2:$E$35,2,FALSE)),0,VLOOKUP(K224,'Efficiency Lookup'!$D$2:$E$35,2,FALSE))</f>
        <v>0.75</v>
      </c>
      <c r="AC224" s="1005">
        <f>R224*AB224</f>
        <v>0.84855546151637262</v>
      </c>
      <c r="AD224" s="637">
        <f>IF(U224="RR",IF((0.0304*(W224^5)-0.2619*(W224^4)+0.9161*(W224^3)-1.6837*(W224^2)+1.7072*W224-0.0091)&gt;0.85,0.85,IF((0.0304*(W224^5)-0.2619*(W224^4)+0.9161*(W224^3)-1.6837*(W224^2)+1.7072*W224-0.0091)&lt;0,0,(0.0304*(W224^5)-0.2619*(W224^4)+0.9161*(W224^3)-1.6837*(W224^2)+1.7072*W224-0.0091))),IF((0.0239*(W224^5)-0.2058*(W224^4)+0.7198*(W224^3)-1.3229*(W224^2)+1.3414*W224-0.0072)&gt;0.65,0.65,IF((0.0239*(W224^5)-0.2058*(W224^4)+0.7198*(W224^3)-1.3229*(W224^2)+1.3414*W224-0.0072)&lt;0,0,(0.0239*(W224^5)-0.2058*(W224^4)+0.7198*(W224^3)-1.3229*(W224^2)+1.3414*W224-0.0072))))</f>
        <v>0</v>
      </c>
      <c r="AE224" s="139">
        <f>R224*AD224</f>
        <v>0</v>
      </c>
      <c r="AF224" s="516">
        <f>MAX(Y224,AA224,AC224,AE224)</f>
        <v>0.84855546151637262</v>
      </c>
      <c r="AG224" s="641">
        <f>IF(ISNA(VLOOKUP(K224,'Efficiency Lookup'!$D$2:$G$35,3,FALSE)),0,VLOOKUP(K224,'Efficiency Lookup'!$D$2:$G$35,3,FALSE))</f>
        <v>0.7</v>
      </c>
      <c r="AH224" s="1005">
        <f>S224*AG224</f>
        <v>8.8918193392797313</v>
      </c>
      <c r="AI224" s="637">
        <f>IF(U224="RR",IF((0.0308*(W224^5)-0.2562*(W224^4)+0.8634*(W224^3)-1.5285*(W224^2)+1.501*W224-0.013)&gt;0.7,0.7,IF((0.0308*(W224^5)-0.2562*(W224^4)+0.8634*(W224^3)-1.5285*(W224^2)+1.501*W224-0.013)&lt;0,0,(0.0308*(W224^5)-0.2562*(W224^4)+0.8634*(W224^3)-1.5285*(W224^2)+1.501*W224-0.013))),IF((0.0152*(W224^5)-0.131*(W224^4)+0.4581*(W224^3)-0.8418*(W224^2)+0.8536*W224-0.0046)&gt;0.65,0.65,IF((0.0152*(W224^5)-0.131*(W224^4)+0.4581*(W224^3)-0.8418*(W224^2)+0.8536*W224-0.0046)&lt;0,0,(0.0152*(W224^5)-0.131*(W224^4)+0.4581*(W224^3)-0.8418*(W224^2)+0.8536*W224-0.0046))))</f>
        <v>0</v>
      </c>
      <c r="AJ224" s="139">
        <f>S224*AI224</f>
        <v>0</v>
      </c>
      <c r="AK224" s="416">
        <f t="shared" si="70"/>
        <v>8.8918193392797313</v>
      </c>
      <c r="AL224" s="641">
        <f>IF(ISNA(VLOOKUP(K224,'Efficiency Lookup'!$D$2:$G$35,4,FALSE)),0,VLOOKUP(K224,'Efficiency Lookup'!$D$2:$G$35,4,FALSE))</f>
        <v>0.8</v>
      </c>
      <c r="AM224" s="1005">
        <f>T224*AL224</f>
        <v>530.9838549654595</v>
      </c>
      <c r="AN224" s="637">
        <f>IF(U224="RR",IF((0.0326*(W224^5)-0.2806*(W224^4)+0.9816*(W224^3)-1.8039*(W224^2)+1.8292*W224-0.0098)&gt;0.85,0.85,IF((0.0326*(W224^5)-0.2806*(W224^4)+0.9816*(W224^3)-1.8039*(W224^2)+1.8292*W224-0.0098)&lt;0,0,(0.0326*(W224^5)-0.2806*(W224^4)+0.9816*(W224^3)-1.8039*(W224^2)+1.8292*W224-0.0098))),IF((0.0304*(W224^5)-0.2619*(W224^4)+0.9161*(W224^3)-1.6837*(W224^2)+1.7072*W224-0.0091)&gt;0.8,0.8,IF((0.0304*(W224^5)-0.2619*(W224^4)+0.9161*(W224^3)-1.6837*(W224^2)+1.7072*W224-0.0091)&lt;0,0,(0.0304*(W224^5)-0.2619*(W224^4)+0.9161*(W224^3)-1.6837*(W224^2)+1.7072*W224-0.0091))))</f>
        <v>0</v>
      </c>
      <c r="AO224" s="139">
        <f>T224*AN224</f>
        <v>0</v>
      </c>
      <c r="AP224" s="647">
        <f>IF(AK224=AH224,AM224,AO224)</f>
        <v>530.9838549654595</v>
      </c>
      <c r="AQ224" s="789">
        <f>IF(AF224&lt;0,0,AF224)</f>
        <v>0.84855546151637262</v>
      </c>
      <c r="AR224" s="789">
        <f>IF(AK224&lt;0,0,AK224)</f>
        <v>8.8918193392797313</v>
      </c>
      <c r="AS224" s="790">
        <f>IF(AP224&lt;0,0,AP224)</f>
        <v>530.9838549654595</v>
      </c>
    </row>
    <row r="225" spans="1:45" x14ac:dyDescent="0.25">
      <c r="A225" s="261"/>
      <c r="B225" s="510" t="s">
        <v>297</v>
      </c>
      <c r="C225" s="510" t="s">
        <v>297</v>
      </c>
      <c r="D225" s="510" t="s">
        <v>297</v>
      </c>
      <c r="E225" s="511"/>
      <c r="F225" s="705"/>
      <c r="G225" s="510"/>
      <c r="H225" s="511"/>
      <c r="I225" s="261" t="str">
        <f>IF(G225="","",IF(G225="Proprietary","Filterra","Clearinghouse Not Used"))</f>
        <v/>
      </c>
      <c r="J225" s="511"/>
      <c r="K225" s="511"/>
      <c r="L225" s="510"/>
      <c r="M225" s="510"/>
      <c r="N225" s="672"/>
      <c r="O225" s="514"/>
      <c r="P225" s="514" t="s">
        <v>297</v>
      </c>
      <c r="Q225" s="688"/>
      <c r="R225" s="674"/>
      <c r="S225" s="674"/>
      <c r="T225" s="674"/>
      <c r="U225" s="1022"/>
      <c r="V225" s="514"/>
      <c r="W225" s="675"/>
      <c r="X225" s="636" t="str">
        <f t="shared" si="91"/>
        <v/>
      </c>
      <c r="Y225" s="706"/>
      <c r="Z225" s="640"/>
      <c r="AA225" s="1022"/>
      <c r="AB225" s="637"/>
      <c r="AC225" s="637"/>
      <c r="AD225" s="637"/>
      <c r="AE225" s="139"/>
      <c r="AF225" s="642"/>
      <c r="AG225" s="583"/>
      <c r="AH225" s="139"/>
      <c r="AI225" s="637"/>
      <c r="AJ225" s="139"/>
      <c r="AK225" s="416" t="str">
        <f t="shared" si="70"/>
        <v/>
      </c>
      <c r="AL225" s="642"/>
      <c r="AM225" s="637"/>
      <c r="AN225" s="637"/>
      <c r="AO225" s="139"/>
      <c r="AP225" s="647"/>
      <c r="AQ225" s="789"/>
      <c r="AR225" s="789"/>
      <c r="AS225" s="790"/>
    </row>
    <row r="226" spans="1:45" x14ac:dyDescent="0.25">
      <c r="A226" s="628"/>
      <c r="B226" s="668" t="s">
        <v>297</v>
      </c>
      <c r="C226" s="668" t="s">
        <v>297</v>
      </c>
      <c r="D226" s="668" t="s">
        <v>297</v>
      </c>
      <c r="E226" s="710"/>
      <c r="F226" s="711"/>
      <c r="G226" s="668"/>
      <c r="H226" s="712"/>
      <c r="I226" s="712" t="str">
        <f>IF(G226="","",IF(G226="Proprietary","Filterra","Clearinghouse Not Used"))</f>
        <v/>
      </c>
      <c r="J226" s="712"/>
      <c r="K226" s="712"/>
      <c r="L226" s="712"/>
      <c r="M226" s="712"/>
      <c r="N226" s="712"/>
      <c r="O226" s="712"/>
      <c r="P226" s="712"/>
      <c r="Q226" s="712"/>
      <c r="R226" s="712"/>
      <c r="S226" s="712"/>
      <c r="T226" s="712"/>
      <c r="U226" s="712"/>
      <c r="V226" s="712"/>
      <c r="W226" s="712"/>
      <c r="X226" s="760" t="str">
        <f t="shared" si="91"/>
        <v/>
      </c>
      <c r="Y226" s="713"/>
      <c r="Z226" s="712"/>
      <c r="AA226" s="712"/>
      <c r="AB226" s="638"/>
      <c r="AC226" s="638"/>
      <c r="AD226" s="638"/>
      <c r="AE226" s="629"/>
      <c r="AF226" s="666"/>
      <c r="AG226" s="666"/>
      <c r="AH226" s="629"/>
      <c r="AI226" s="638"/>
      <c r="AJ226" s="629"/>
      <c r="AK226" s="639" t="str">
        <f t="shared" si="70"/>
        <v/>
      </c>
      <c r="AL226" s="644"/>
      <c r="AM226" s="638"/>
      <c r="AN226" s="638"/>
      <c r="AO226" s="629"/>
      <c r="AP226" s="648"/>
      <c r="AQ226" s="791"/>
      <c r="AR226" s="791"/>
      <c r="AS226" s="792"/>
    </row>
    <row r="227" spans="1:45" ht="14.45" customHeight="1" x14ac:dyDescent="0.25">
      <c r="A227" s="261"/>
      <c r="B227" s="510" t="s">
        <v>297</v>
      </c>
      <c r="C227" s="510" t="s">
        <v>297</v>
      </c>
      <c r="D227" s="510" t="s">
        <v>297</v>
      </c>
      <c r="E227" s="704"/>
      <c r="F227" s="705"/>
      <c r="G227" s="510"/>
      <c r="H227" s="511"/>
      <c r="I227" s="261"/>
      <c r="J227" s="511"/>
      <c r="K227" s="511"/>
      <c r="L227" s="510"/>
      <c r="M227" s="510"/>
      <c r="N227" s="672"/>
      <c r="O227" s="514"/>
      <c r="P227" s="514" t="s">
        <v>297</v>
      </c>
      <c r="Q227" s="688"/>
      <c r="R227" s="674"/>
      <c r="S227" s="674"/>
      <c r="T227" s="674"/>
      <c r="U227" s="1022"/>
      <c r="V227" s="514"/>
      <c r="W227" s="675"/>
      <c r="X227" s="636" t="str">
        <f t="shared" si="91"/>
        <v/>
      </c>
      <c r="Y227" s="706"/>
      <c r="Z227" s="640"/>
      <c r="AA227" s="1022"/>
      <c r="AB227" s="637"/>
      <c r="AC227" s="637"/>
      <c r="AD227" s="637"/>
      <c r="AE227" s="139"/>
      <c r="AF227" s="642"/>
      <c r="AG227" s="583"/>
      <c r="AH227" s="139"/>
      <c r="AI227" s="637"/>
      <c r="AJ227" s="139"/>
      <c r="AK227" s="416" t="str">
        <f t="shared" si="70"/>
        <v/>
      </c>
      <c r="AL227" s="642"/>
      <c r="AM227" s="637"/>
      <c r="AN227" s="637"/>
      <c r="AO227" s="139"/>
      <c r="AP227" s="647"/>
      <c r="AQ227" s="789"/>
      <c r="AR227" s="789"/>
      <c r="AS227" s="790"/>
    </row>
    <row r="228" spans="1:45" x14ac:dyDescent="0.25">
      <c r="A228" s="261" t="s">
        <v>712</v>
      </c>
      <c r="B228" s="510">
        <v>38.083903999999997</v>
      </c>
      <c r="C228" s="510">
        <v>-78.474678999999995</v>
      </c>
      <c r="D228" s="510" t="s">
        <v>296</v>
      </c>
      <c r="E228" s="511">
        <v>304.01</v>
      </c>
      <c r="F228" s="669">
        <v>39356</v>
      </c>
      <c r="G228" s="510" t="s">
        <v>331</v>
      </c>
      <c r="H228" s="511"/>
      <c r="I228" s="511"/>
      <c r="J228" s="511" t="s">
        <v>337</v>
      </c>
      <c r="K228" s="511" t="s">
        <v>334</v>
      </c>
      <c r="L228" s="261"/>
      <c r="M228" s="514">
        <f>N228+O228+P228</f>
        <v>0.74738557302479003</v>
      </c>
      <c r="N228" s="672">
        <v>0.47091814080299998</v>
      </c>
      <c r="O228" s="514">
        <v>0.27646743222178999</v>
      </c>
      <c r="P228" s="514">
        <v>0</v>
      </c>
      <c r="Q228" s="673">
        <f>+N228/M228</f>
        <v>0.63008727730335801</v>
      </c>
      <c r="R228" s="674">
        <f>IF(L227="TT",(1.76*N228+0.5*O228+0.13*P228)-AF227,1.76*N228+0.5*O228+0.13*P228)</f>
        <v>0.96704964392417492</v>
      </c>
      <c r="S228" s="674">
        <f>IF(L227="TT",(M228*9.39+N228*6.99+O228*2.36)-AK227,M228*9.39+N228*6.99+O228*2.36)</f>
        <v>10.962131474959174</v>
      </c>
      <c r="T228" s="674">
        <f>IF(L227="TT",(M228*676.94+N228*101.08+O228*77.38)-AP227,M228*676.94+N228*101.08+O228*77.38)</f>
        <v>574.92864538109075</v>
      </c>
      <c r="U228" s="1022" t="s">
        <v>285</v>
      </c>
      <c r="V228" s="514" t="s">
        <v>295</v>
      </c>
      <c r="W228" s="675">
        <f>IF(V228="NA", 0, (V228)*12/N228/43560)</f>
        <v>0</v>
      </c>
      <c r="X228" s="634" t="str">
        <f t="shared" si="91"/>
        <v>NA</v>
      </c>
      <c r="Y228" s="676">
        <f>IF(X228="NA",0,R228*X228)</f>
        <v>0</v>
      </c>
      <c r="Z228" s="635">
        <f>IF(ISNA(VLOOKUP(J228,'Efficiency Lookup'!$B$2:$C$38,2,FALSE)),0,(VLOOKUP(J228,'Efficiency Lookup'!$B$2:$C$38,2,FALSE)))</f>
        <v>0.15</v>
      </c>
      <c r="AA228" s="139">
        <f>R228*Z228</f>
        <v>0.14505744658862624</v>
      </c>
      <c r="AB228" s="640">
        <f>IF(ISNA(VLOOKUP(K228,'Efficiency Lookup'!$D$2:$E$35,2,FALSE)),0,VLOOKUP(K228,'Efficiency Lookup'!$D$2:$E$35,2,FALSE))</f>
        <v>0.75</v>
      </c>
      <c r="AC228" s="1022">
        <f>R228*AB228</f>
        <v>0.72528723294313124</v>
      </c>
      <c r="AD228" s="637">
        <f>IF(U228="RR",IF((0.0304*(W228^5)-0.2619*(W228^4)+0.9161*(W228^3)-1.6837*(W228^2)+1.7072*W228-0.0091)&gt;0.85,0.85,IF((0.0304*(W228^5)-0.2619*(W228^4)+0.9161*(W228^3)-1.6837*(W228^2)+1.7072*W228-0.0091)&lt;0,0,(0.0304*(W228^5)-0.2619*(W228^4)+0.9161*(W228^3)-1.6837*(W228^2)+1.7072*W228-0.0091))),IF((0.0239*(W228^5)-0.2058*(W228^4)+0.7198*(W228^3)-1.3229*(W228^2)+1.3414*W228-0.0072)&gt;0.65,0.65,IF((0.0239*(W228^5)-0.2058*(W228^4)+0.7198*(W228^3)-1.3229*(W228^2)+1.3414*W228-0.0072)&lt;0,0,(0.0239*(W228^5)-0.2058*(W228^4)+0.7198*(W228^3)-1.3229*(W228^2)+1.3414*W228-0.0072))))</f>
        <v>0</v>
      </c>
      <c r="AE228" s="139">
        <f>R228*AD228</f>
        <v>0</v>
      </c>
      <c r="AF228" s="516">
        <f>MAX(Y228,AA228,AC228,AE228)</f>
        <v>0.72528723294313124</v>
      </c>
      <c r="AG228" s="636">
        <f>IF(ISNA(VLOOKUP(K228,'Efficiency Lookup'!$D$2:$G$35,3,FALSE)),0,VLOOKUP(K228,'Efficiency Lookup'!$D$2:$G$35,3,FALSE))</f>
        <v>0.7</v>
      </c>
      <c r="AH228" s="1022">
        <f>S228*AG228</f>
        <v>7.6734920324714206</v>
      </c>
      <c r="AI228" s="637">
        <f>IF(U228="RR",IF((0.0308*(W228^5)-0.2562*(W228^4)+0.8634*(W228^3)-1.5285*(W228^2)+1.501*W228-0.013)&gt;0.7,0.7,IF((0.0308*(W228^5)-0.2562*(W228^4)+0.8634*(W228^3)-1.5285*(W228^2)+1.501*W228-0.013)&lt;0,0,(0.0308*(W228^5)-0.2562*(W228^4)+0.8634*(W228^3)-1.5285*(W228^2)+1.501*W228-0.013))),IF((0.0152*(W228^5)-0.131*(W228^4)+0.4581*(W228^3)-0.8418*(W228^2)+0.8536*W228-0.0046)&gt;0.65,0.65,IF((0.0152*(W228^5)-0.131*(W228^4)+0.4581*(W228^3)-0.8418*(W228^2)+0.8536*W228-0.0046)&lt;0,0,(0.0152*(W228^5)-0.131*(W228^4)+0.4581*(W228^3)-0.8418*(W228^2)+0.8536*W228-0.0046))))</f>
        <v>0</v>
      </c>
      <c r="AJ228" s="139">
        <f>S228*AI228</f>
        <v>0</v>
      </c>
      <c r="AK228" s="416">
        <f t="shared" si="70"/>
        <v>7.6734920324714206</v>
      </c>
      <c r="AL228" s="641">
        <f>IF(ISNA(VLOOKUP(K228,'Efficiency Lookup'!$D$2:$G$35,4,FALSE)),0,VLOOKUP(K228,'Efficiency Lookup'!$D$2:$G$35,4,FALSE))</f>
        <v>0.8</v>
      </c>
      <c r="AM228" s="1022">
        <f>T228*AL228</f>
        <v>459.9429163048726</v>
      </c>
      <c r="AN228" s="637">
        <f>IF(U228="RR",IF((0.0326*(W228^5)-0.2806*(W228^4)+0.9816*(W228^3)-1.8039*(W228^2)+1.8292*W228-0.0098)&gt;0.85,0.85,IF((0.0326*(W228^5)-0.2806*(W228^4)+0.9816*(W228^3)-1.8039*(W228^2)+1.8292*W228-0.0098)&lt;0,0,(0.0326*(W228^5)-0.2806*(W228^4)+0.9816*(W228^3)-1.8039*(W228^2)+1.8292*W228-0.0098))),IF((0.0304*(W228^5)-0.2619*(W228^4)+0.9161*(W228^3)-1.6837*(W228^2)+1.7072*W228-0.0091)&gt;0.8,0.8,IF((0.0304*(W228^5)-0.2619*(W228^4)+0.9161*(W228^3)-1.6837*(W228^2)+1.7072*W228-0.0091)&lt;0,0,(0.0304*(W228^5)-0.2619*(W228^4)+0.9161*(W228^3)-1.6837*(W228^2)+1.7072*W228-0.0091))))</f>
        <v>0</v>
      </c>
      <c r="AO228" s="139">
        <f>T228*AN228</f>
        <v>0</v>
      </c>
      <c r="AP228" s="647">
        <f>IF(AK228=AH228,AM228,AO228)</f>
        <v>459.9429163048726</v>
      </c>
      <c r="AQ228" s="789">
        <f>IF(AF228&lt;0,0,AF228)</f>
        <v>0.72528723294313124</v>
      </c>
      <c r="AR228" s="789">
        <f>IF(AK228&lt;0,0,AK228)</f>
        <v>7.6734920324714206</v>
      </c>
      <c r="AS228" s="790">
        <f>IF(AP228&lt;0,0,AP228)</f>
        <v>459.9429163048726</v>
      </c>
    </row>
    <row r="229" spans="1:45" x14ac:dyDescent="0.25">
      <c r="A229" s="261"/>
      <c r="B229" s="510" t="s">
        <v>297</v>
      </c>
      <c r="C229" s="510" t="s">
        <v>297</v>
      </c>
      <c r="D229" s="510" t="s">
        <v>297</v>
      </c>
      <c r="E229" s="511"/>
      <c r="F229" s="705"/>
      <c r="G229" s="510"/>
      <c r="H229" s="511"/>
      <c r="I229" s="261"/>
      <c r="J229" s="511"/>
      <c r="K229" s="511"/>
      <c r="L229" s="510"/>
      <c r="M229" s="510"/>
      <c r="N229" s="672"/>
      <c r="O229" s="514"/>
      <c r="P229" s="514" t="s">
        <v>297</v>
      </c>
      <c r="Q229" s="688"/>
      <c r="R229" s="674"/>
      <c r="S229" s="674"/>
      <c r="T229" s="674"/>
      <c r="U229" s="1022"/>
      <c r="V229" s="514"/>
      <c r="W229" s="675"/>
      <c r="X229" s="636" t="str">
        <f t="shared" si="91"/>
        <v/>
      </c>
      <c r="Y229" s="706"/>
      <c r="Z229" s="640"/>
      <c r="AA229" s="1022"/>
      <c r="AB229" s="637"/>
      <c r="AC229" s="637"/>
      <c r="AD229" s="637"/>
      <c r="AE229" s="139"/>
      <c r="AF229" s="642"/>
      <c r="AG229" s="583"/>
      <c r="AH229" s="139"/>
      <c r="AI229" s="637"/>
      <c r="AJ229" s="139"/>
      <c r="AK229" s="416" t="str">
        <f t="shared" si="70"/>
        <v/>
      </c>
      <c r="AL229" s="642"/>
      <c r="AM229" s="637"/>
      <c r="AN229" s="637"/>
      <c r="AO229" s="139"/>
      <c r="AP229" s="647"/>
      <c r="AQ229" s="789"/>
      <c r="AR229" s="789"/>
      <c r="AS229" s="790"/>
    </row>
    <row r="230" spans="1:45" x14ac:dyDescent="0.25">
      <c r="A230" s="628"/>
      <c r="B230" s="668" t="s">
        <v>297</v>
      </c>
      <c r="C230" s="668" t="s">
        <v>297</v>
      </c>
      <c r="D230" s="668" t="s">
        <v>297</v>
      </c>
      <c r="E230" s="710"/>
      <c r="F230" s="711"/>
      <c r="G230" s="668"/>
      <c r="H230" s="712"/>
      <c r="I230" s="712"/>
      <c r="J230" s="712"/>
      <c r="K230" s="712"/>
      <c r="L230" s="712"/>
      <c r="M230" s="712"/>
      <c r="N230" s="712"/>
      <c r="O230" s="712"/>
      <c r="P230" s="712"/>
      <c r="Q230" s="712"/>
      <c r="R230" s="712"/>
      <c r="S230" s="712"/>
      <c r="T230" s="712"/>
      <c r="U230" s="712"/>
      <c r="V230" s="712"/>
      <c r="W230" s="712"/>
      <c r="X230" s="760" t="str">
        <f t="shared" si="91"/>
        <v/>
      </c>
      <c r="Y230" s="713"/>
      <c r="Z230" s="712"/>
      <c r="AA230" s="712"/>
      <c r="AB230" s="638"/>
      <c r="AC230" s="638"/>
      <c r="AD230" s="638"/>
      <c r="AE230" s="629"/>
      <c r="AF230" s="666"/>
      <c r="AG230" s="666"/>
      <c r="AH230" s="629"/>
      <c r="AI230" s="638"/>
      <c r="AJ230" s="629"/>
      <c r="AK230" s="639" t="str">
        <f t="shared" si="70"/>
        <v/>
      </c>
      <c r="AL230" s="644"/>
      <c r="AM230" s="638"/>
      <c r="AN230" s="638"/>
      <c r="AO230" s="629"/>
      <c r="AP230" s="648"/>
      <c r="AQ230" s="791"/>
      <c r="AR230" s="791"/>
      <c r="AS230" s="792"/>
    </row>
    <row r="231" spans="1:45" ht="14.45" customHeight="1" x14ac:dyDescent="0.25">
      <c r="A231" s="261"/>
      <c r="B231" s="510" t="s">
        <v>297</v>
      </c>
      <c r="C231" s="510" t="s">
        <v>297</v>
      </c>
      <c r="D231" s="510" t="s">
        <v>297</v>
      </c>
      <c r="E231" s="704"/>
      <c r="F231" s="705"/>
      <c r="G231" s="510"/>
      <c r="H231" s="511"/>
      <c r="I231" s="261"/>
      <c r="J231" s="511"/>
      <c r="K231" s="511"/>
      <c r="L231" s="510"/>
      <c r="M231" s="510"/>
      <c r="N231" s="672"/>
      <c r="O231" s="514"/>
      <c r="P231" s="514" t="s">
        <v>297</v>
      </c>
      <c r="Q231" s="688"/>
      <c r="R231" s="674"/>
      <c r="S231" s="674"/>
      <c r="T231" s="674"/>
      <c r="U231" s="1022"/>
      <c r="V231" s="514"/>
      <c r="W231" s="675"/>
      <c r="X231" s="636" t="str">
        <f t="shared" si="91"/>
        <v/>
      </c>
      <c r="Y231" s="706"/>
      <c r="Z231" s="640"/>
      <c r="AA231" s="1022"/>
      <c r="AB231" s="637"/>
      <c r="AC231" s="637"/>
      <c r="AD231" s="637"/>
      <c r="AE231" s="139"/>
      <c r="AF231" s="642"/>
      <c r="AG231" s="583"/>
      <c r="AH231" s="139"/>
      <c r="AI231" s="637"/>
      <c r="AJ231" s="139"/>
      <c r="AK231" s="416" t="str">
        <f t="shared" si="70"/>
        <v/>
      </c>
      <c r="AL231" s="642"/>
      <c r="AM231" s="637"/>
      <c r="AN231" s="637"/>
      <c r="AO231" s="139"/>
      <c r="AP231" s="647"/>
      <c r="AQ231" s="789"/>
      <c r="AR231" s="789"/>
      <c r="AS231" s="790"/>
    </row>
    <row r="232" spans="1:45" ht="30" x14ac:dyDescent="0.25">
      <c r="A232" s="261" t="s">
        <v>713</v>
      </c>
      <c r="B232" s="510">
        <v>38.066335000000002</v>
      </c>
      <c r="C232" s="510">
        <v>-78.465146000000004</v>
      </c>
      <c r="D232" s="510" t="s">
        <v>296</v>
      </c>
      <c r="E232" s="511">
        <v>45.01</v>
      </c>
      <c r="F232" s="669">
        <v>39133</v>
      </c>
      <c r="G232" s="510" t="s">
        <v>281</v>
      </c>
      <c r="H232" s="670"/>
      <c r="I232" s="511"/>
      <c r="J232" s="511" t="s">
        <v>343</v>
      </c>
      <c r="K232" s="511" t="s">
        <v>315</v>
      </c>
      <c r="L232" s="671"/>
      <c r="M232" s="671">
        <f>N232+O232+P232</f>
        <v>0.94632851480357494</v>
      </c>
      <c r="N232" s="672">
        <v>0.66016525462147502</v>
      </c>
      <c r="O232" s="514">
        <v>0.22595214664749999</v>
      </c>
      <c r="P232" s="514">
        <v>6.02111135346E-2</v>
      </c>
      <c r="Q232" s="673">
        <f>+N232/M232</f>
        <v>0.69760685036369474</v>
      </c>
      <c r="R232" s="674">
        <f>IF(L231="TT",(1.76*N232+0.5*O232+0.13*P232)-AF231,1.76*N232+0.5*O232+0.13*P232)</f>
        <v>1.2826943662170438</v>
      </c>
      <c r="S232" s="674">
        <f>IF(L231="TT",(M232*9.39+N232*6.99+O232*2.36)-AK231,M232*9.39+N232*6.99+O232*2.36)</f>
        <v>14.033826949897781</v>
      </c>
      <c r="T232" s="674">
        <f>IF(L231="TT",(M232*676.94+N232*101.08+O232*77.38)-AP231,M232*676.94+N232*101.08+O232*77.38)</f>
        <v>724.82130585585423</v>
      </c>
      <c r="U232" s="1022" t="s">
        <v>285</v>
      </c>
      <c r="V232" s="514" t="s">
        <v>645</v>
      </c>
      <c r="W232" s="675">
        <f>IF(V232="NA", 0, (V232)*12/N232/43560)</f>
        <v>0</v>
      </c>
      <c r="X232" s="634" t="str">
        <f t="shared" si="91"/>
        <v>NA</v>
      </c>
      <c r="Y232" s="676">
        <f>IF(X232="NA",0,R232*X232)</f>
        <v>0</v>
      </c>
      <c r="Z232" s="635">
        <f>IF(ISNA(VLOOKUP(J232,'Efficiency Lookup'!$B$2:$C$38,2,FALSE)),0,(VLOOKUP(J232,'Efficiency Lookup'!$B$2:$C$38,2,FALSE)))</f>
        <v>0.5</v>
      </c>
      <c r="AA232" s="139">
        <f>R232*Z232</f>
        <v>0.6413471831085219</v>
      </c>
      <c r="AB232" s="1061">
        <f>IF(ISNA(VLOOKUP(K232,'Efficiency Lookup'!$D$2:$E$35,2,FALSE)),0,VLOOKUP(K232,'Efficiency Lookup'!$D$2:$E$35,2,FALSE))</f>
        <v>0.75</v>
      </c>
      <c r="AC232" s="1005">
        <f>R232*AB232</f>
        <v>0.96202077466278291</v>
      </c>
      <c r="AD232" s="637">
        <f>IF(U232="RR",IF((0.0304*(W232^5)-0.2619*(W232^4)+0.9161*(W232^3)-1.6837*(W232^2)+1.7072*W232-0.0091)&gt;0.85,0.85,IF((0.0304*(W232^5)-0.2619*(W232^4)+0.9161*(W232^3)-1.6837*(W232^2)+1.7072*W232-0.0091)&lt;0,0,(0.0304*(W232^5)-0.2619*(W232^4)+0.9161*(W232^3)-1.6837*(W232^2)+1.7072*W232-0.0091))),IF((0.0239*(W232^5)-0.2058*(W232^4)+0.7198*(W232^3)-1.3229*(W232^2)+1.3414*W232-0.0072)&gt;0.65,0.65,IF((0.0239*(W232^5)-0.2058*(W232^4)+0.7198*(W232^3)-1.3229*(W232^2)+1.3414*W232-0.0072)&lt;0,0,(0.0239*(W232^5)-0.2058*(W232^4)+0.7198*(W232^3)-1.3229*(W232^2)+1.3414*W232-0.0072))))</f>
        <v>0</v>
      </c>
      <c r="AE232" s="139">
        <f>R232*AD232</f>
        <v>0</v>
      </c>
      <c r="AF232" s="516">
        <f>MAX(Y232,AA232,AC232,AE232)</f>
        <v>0.96202077466278291</v>
      </c>
      <c r="AG232" s="641">
        <f>IF(ISNA(VLOOKUP(K232,'Efficiency Lookup'!$D$2:$G$35,3,FALSE)),0,VLOOKUP(K232,'Efficiency Lookup'!$D$2:$G$35,3,FALSE))</f>
        <v>0.7</v>
      </c>
      <c r="AH232" s="1005">
        <f>S232*AG232</f>
        <v>9.8236788649284463</v>
      </c>
      <c r="AI232" s="637">
        <f>IF(U232="RR",IF((0.0308*(W232^5)-0.2562*(W232^4)+0.8634*(W232^3)-1.5285*(W232^2)+1.501*W232-0.013)&gt;0.7,0.7,IF((0.0308*(W232^5)-0.2562*(W232^4)+0.8634*(W232^3)-1.5285*(W232^2)+1.501*W232-0.013)&lt;0,0,(0.0308*(W232^5)-0.2562*(W232^4)+0.8634*(W232^3)-1.5285*(W232^2)+1.501*W232-0.013))),IF((0.0152*(W232^5)-0.131*(W232^4)+0.4581*(W232^3)-0.8418*(W232^2)+0.8536*W232-0.0046)&gt;0.65,0.65,IF((0.0152*(W232^5)-0.131*(W232^4)+0.4581*(W232^3)-0.8418*(W232^2)+0.8536*W232-0.0046)&lt;0,0,(0.0152*(W232^5)-0.131*(W232^4)+0.4581*(W232^3)-0.8418*(W232^2)+0.8536*W232-0.0046))))</f>
        <v>0</v>
      </c>
      <c r="AJ232" s="139">
        <f>S232*AI232</f>
        <v>0</v>
      </c>
      <c r="AK232" s="416">
        <f t="shared" si="70"/>
        <v>9.8236788649284463</v>
      </c>
      <c r="AL232" s="641">
        <f>IF(ISNA(VLOOKUP(K232,'Efficiency Lookup'!$D$2:$G$35,4,FALSE)),0,VLOOKUP(K232,'Efficiency Lookup'!$D$2:$G$35,4,FALSE))</f>
        <v>0.8</v>
      </c>
      <c r="AM232" s="1005">
        <f>T232*AL232</f>
        <v>579.85704468468339</v>
      </c>
      <c r="AN232" s="637">
        <f>IF(U232="RR",IF((0.0326*(W232^5)-0.2806*(W232^4)+0.9816*(W232^3)-1.8039*(W232^2)+1.8292*W232-0.0098)&gt;0.85,0.85,IF((0.0326*(W232^5)-0.2806*(W232^4)+0.9816*(W232^3)-1.8039*(W232^2)+1.8292*W232-0.0098)&lt;0,0,(0.0326*(W232^5)-0.2806*(W232^4)+0.9816*(W232^3)-1.8039*(W232^2)+1.8292*W232-0.0098))),IF((0.0304*(W232^5)-0.2619*(W232^4)+0.9161*(W232^3)-1.6837*(W232^2)+1.7072*W232-0.0091)&gt;0.8,0.8,IF((0.0304*(W232^5)-0.2619*(W232^4)+0.9161*(W232^3)-1.6837*(W232^2)+1.7072*W232-0.0091)&lt;0,0,(0.0304*(W232^5)-0.2619*(W232^4)+0.9161*(W232^3)-1.6837*(W232^2)+1.7072*W232-0.0091))))</f>
        <v>0</v>
      </c>
      <c r="AO232" s="139">
        <f>T232*AN232</f>
        <v>0</v>
      </c>
      <c r="AP232" s="647">
        <f>IF(AK232=AH232,AM232,AO232)</f>
        <v>579.85704468468339</v>
      </c>
      <c r="AQ232" s="789">
        <f>IF(AF232&lt;0,0,AF232)</f>
        <v>0.96202077466278291</v>
      </c>
      <c r="AR232" s="789">
        <f>IF(AK232&lt;0,0,AK232)</f>
        <v>9.8236788649284463</v>
      </c>
      <c r="AS232" s="790">
        <f>IF(AP232&lt;0,0,AP232)</f>
        <v>579.85704468468339</v>
      </c>
    </row>
    <row r="233" spans="1:45" x14ac:dyDescent="0.25">
      <c r="A233" s="261"/>
      <c r="B233" s="510" t="s">
        <v>297</v>
      </c>
      <c r="C233" s="510" t="s">
        <v>297</v>
      </c>
      <c r="D233" s="510" t="s">
        <v>297</v>
      </c>
      <c r="E233" s="511"/>
      <c r="F233" s="705"/>
      <c r="G233" s="510"/>
      <c r="H233" s="511"/>
      <c r="I233" s="261"/>
      <c r="J233" s="511"/>
      <c r="K233" s="511"/>
      <c r="L233" s="510"/>
      <c r="M233" s="510"/>
      <c r="N233" s="672"/>
      <c r="O233" s="514"/>
      <c r="P233" s="514" t="s">
        <v>297</v>
      </c>
      <c r="Q233" s="688"/>
      <c r="R233" s="674"/>
      <c r="S233" s="674"/>
      <c r="T233" s="674"/>
      <c r="U233" s="1022"/>
      <c r="V233" s="514"/>
      <c r="W233" s="675"/>
      <c r="X233" s="636" t="str">
        <f t="shared" si="91"/>
        <v/>
      </c>
      <c r="Y233" s="706"/>
      <c r="Z233" s="640"/>
      <c r="AA233" s="1022"/>
      <c r="AB233" s="637"/>
      <c r="AC233" s="637"/>
      <c r="AD233" s="637"/>
      <c r="AE233" s="139"/>
      <c r="AF233" s="642"/>
      <c r="AG233" s="583"/>
      <c r="AH233" s="139"/>
      <c r="AI233" s="637"/>
      <c r="AJ233" s="139"/>
      <c r="AK233" s="416" t="str">
        <f t="shared" si="70"/>
        <v/>
      </c>
      <c r="AL233" s="642"/>
      <c r="AM233" s="637"/>
      <c r="AN233" s="637"/>
      <c r="AO233" s="139"/>
      <c r="AP233" s="647"/>
      <c r="AQ233" s="789"/>
      <c r="AR233" s="789"/>
      <c r="AS233" s="790"/>
    </row>
    <row r="234" spans="1:45" x14ac:dyDescent="0.25">
      <c r="A234" s="628"/>
      <c r="B234" s="668" t="s">
        <v>297</v>
      </c>
      <c r="C234" s="668" t="s">
        <v>297</v>
      </c>
      <c r="D234" s="668" t="s">
        <v>297</v>
      </c>
      <c r="E234" s="710"/>
      <c r="F234" s="711"/>
      <c r="G234" s="668"/>
      <c r="H234" s="712"/>
      <c r="I234" s="712"/>
      <c r="J234" s="712"/>
      <c r="K234" s="712"/>
      <c r="L234" s="712"/>
      <c r="M234" s="712"/>
      <c r="N234" s="712"/>
      <c r="O234" s="712"/>
      <c r="P234" s="712"/>
      <c r="Q234" s="712"/>
      <c r="R234" s="712"/>
      <c r="S234" s="712"/>
      <c r="T234" s="712"/>
      <c r="U234" s="712"/>
      <c r="V234" s="712"/>
      <c r="W234" s="712"/>
      <c r="X234" s="760" t="str">
        <f t="shared" si="91"/>
        <v/>
      </c>
      <c r="Y234" s="713"/>
      <c r="Z234" s="712"/>
      <c r="AA234" s="712"/>
      <c r="AB234" s="638"/>
      <c r="AC234" s="638"/>
      <c r="AD234" s="638"/>
      <c r="AE234" s="629"/>
      <c r="AF234" s="666"/>
      <c r="AG234" s="666"/>
      <c r="AH234" s="629"/>
      <c r="AI234" s="638"/>
      <c r="AJ234" s="629"/>
      <c r="AK234" s="639" t="str">
        <f t="shared" si="70"/>
        <v/>
      </c>
      <c r="AL234" s="644"/>
      <c r="AM234" s="638"/>
      <c r="AN234" s="638"/>
      <c r="AO234" s="629"/>
      <c r="AP234" s="648"/>
      <c r="AQ234" s="791"/>
      <c r="AR234" s="791"/>
      <c r="AS234" s="792"/>
    </row>
    <row r="235" spans="1:45" ht="14.45" customHeight="1" x14ac:dyDescent="0.25">
      <c r="A235" s="261"/>
      <c r="B235" s="510" t="s">
        <v>297</v>
      </c>
      <c r="C235" s="510" t="s">
        <v>297</v>
      </c>
      <c r="D235" s="510" t="s">
        <v>297</v>
      </c>
      <c r="E235" s="704"/>
      <c r="F235" s="705"/>
      <c r="G235" s="510"/>
      <c r="H235" s="511"/>
      <c r="I235" s="261"/>
      <c r="J235" s="511"/>
      <c r="K235" s="511"/>
      <c r="L235" s="510"/>
      <c r="M235" s="510"/>
      <c r="N235" s="672"/>
      <c r="O235" s="514"/>
      <c r="P235" s="514" t="s">
        <v>297</v>
      </c>
      <c r="Q235" s="688"/>
      <c r="R235" s="674"/>
      <c r="S235" s="674"/>
      <c r="T235" s="674"/>
      <c r="U235" s="1022"/>
      <c r="V235" s="514"/>
      <c r="W235" s="675"/>
      <c r="X235" s="636" t="str">
        <f t="shared" si="91"/>
        <v/>
      </c>
      <c r="Y235" s="706"/>
      <c r="Z235" s="640"/>
      <c r="AA235" s="1022"/>
      <c r="AB235" s="637"/>
      <c r="AC235" s="637"/>
      <c r="AD235" s="637"/>
      <c r="AE235" s="139"/>
      <c r="AF235" s="642"/>
      <c r="AG235" s="583"/>
      <c r="AH235" s="139"/>
      <c r="AI235" s="637"/>
      <c r="AJ235" s="139"/>
      <c r="AK235" s="416" t="str">
        <f t="shared" si="70"/>
        <v/>
      </c>
      <c r="AL235" s="642"/>
      <c r="AM235" s="637"/>
      <c r="AN235" s="637"/>
      <c r="AO235" s="139"/>
      <c r="AP235" s="647"/>
      <c r="AQ235" s="789"/>
      <c r="AR235" s="789"/>
      <c r="AS235" s="790"/>
    </row>
    <row r="236" spans="1:45" ht="30" x14ac:dyDescent="0.25">
      <c r="A236" s="261" t="s">
        <v>714</v>
      </c>
      <c r="B236" s="510">
        <v>38.092391999999997</v>
      </c>
      <c r="C236" s="510">
        <v>-78.468929000000003</v>
      </c>
      <c r="D236" s="510" t="s">
        <v>296</v>
      </c>
      <c r="E236" s="511">
        <v>322.02</v>
      </c>
      <c r="F236" s="669">
        <v>39731</v>
      </c>
      <c r="G236" s="510" t="s">
        <v>293</v>
      </c>
      <c r="H236" s="511" t="s">
        <v>715</v>
      </c>
      <c r="I236" s="511"/>
      <c r="J236" s="511"/>
      <c r="K236" s="511"/>
      <c r="L236" s="510" t="s">
        <v>292</v>
      </c>
      <c r="M236" s="514">
        <f>N236+O236+P236</f>
        <v>0.62578199915499999</v>
      </c>
      <c r="N236" s="672">
        <v>0.47058707903000002</v>
      </c>
      <c r="O236" s="514">
        <v>0.155194920125</v>
      </c>
      <c r="P236" s="514">
        <v>0</v>
      </c>
      <c r="Q236" s="673">
        <f>+N236/M236</f>
        <v>0.75199842703279851</v>
      </c>
      <c r="R236" s="674">
        <f>IF(L235="TT",(1.76*N236+0.5*O236+0.13*P236)-AF235,1.76*N236+0.5*O236+0.13*P236)</f>
        <v>0.9058307191553</v>
      </c>
      <c r="S236" s="674">
        <f>IF(L235="TT",(M236*9.39+N236*6.99+O236*2.36)-AK235,M236*9.39+N236*6.99+O236*2.36)</f>
        <v>9.5317566659801489</v>
      </c>
      <c r="T236" s="674">
        <f>IF(L235="TT",(M236*676.94+N236*101.08+O236*77.38)-AP235,M236*676.94+N236*101.08+O236*77.38)</f>
        <v>483.19279137561062</v>
      </c>
      <c r="U236" s="1022" t="s">
        <v>295</v>
      </c>
      <c r="V236" s="514" t="s">
        <v>295</v>
      </c>
      <c r="W236" s="675">
        <f>IF(V236="NA", 0, (V236)*12/N236/43560)</f>
        <v>0</v>
      </c>
      <c r="X236" s="634" t="str">
        <f t="shared" si="91"/>
        <v>NA</v>
      </c>
      <c r="Y236" s="676">
        <f>IF(X236="NA",0,R236*X236)</f>
        <v>0</v>
      </c>
      <c r="Z236" s="635">
        <f>IF(ISNA(VLOOKUP(J236,'Efficiency Lookup'!$B$2:$C$38,2,FALSE)),0,(VLOOKUP(J236,'Efficiency Lookup'!$B$2:$C$38,2,FALSE)))</f>
        <v>0</v>
      </c>
      <c r="AA236" s="139">
        <f>R236*Z236</f>
        <v>0</v>
      </c>
      <c r="AB236" s="635">
        <f>IF(ISNA(VLOOKUP(K236,'Efficiency Lookup'!$D$2:$E$35,2,FALSE)),0,VLOOKUP(K236,'Efficiency Lookup'!$D$2:$E$35,2,FALSE))</f>
        <v>0</v>
      </c>
      <c r="AC236" s="139">
        <f>R236*AB236</f>
        <v>0</v>
      </c>
      <c r="AD236" s="637">
        <f>IF(U236="RR",IF((0.0304*(W236^5)-0.2619*(W236^4)+0.9161*(W236^3)-1.6837*(W236^2)+1.7072*W236-0.0091)&gt;0.85,0.85,IF((0.0304*(W236^5)-0.2619*(W236^4)+0.9161*(W236^3)-1.6837*(W236^2)+1.7072*W236-0.0091)&lt;0,0,(0.0304*(W236^5)-0.2619*(W236^4)+0.9161*(W236^3)-1.6837*(W236^2)+1.7072*W236-0.0091))),IF((0.0239*(W236^5)-0.2058*(W236^4)+0.7198*(W236^3)-1.3229*(W236^2)+1.3414*W236-0.0072)&gt;0.65,0.65,IF((0.0239*(W236^5)-0.2058*(W236^4)+0.7198*(W236^3)-1.3229*(W236^2)+1.3414*W236-0.0072)&lt;0,0,(0.0239*(W236^5)-0.2058*(W236^4)+0.7198*(W236^3)-1.3229*(W236^2)+1.3414*W236-0.0072))))</f>
        <v>0</v>
      </c>
      <c r="AE236" s="139">
        <f>R236*AD236</f>
        <v>0</v>
      </c>
      <c r="AF236" s="516">
        <f>MAX(Y236,AA236,AC236,AE236)</f>
        <v>0</v>
      </c>
      <c r="AG236" s="634">
        <f>IF(ISNA(VLOOKUP(K236,'Efficiency Lookup'!$D$2:$G$35,3,FALSE)),0,VLOOKUP(K236,'Efficiency Lookup'!$D$2:$G$35,3,FALSE))</f>
        <v>0</v>
      </c>
      <c r="AH236" s="139">
        <f>S236*AG236</f>
        <v>0</v>
      </c>
      <c r="AI236" s="637">
        <f>IF(U236="RR",IF((0.0308*(W236^5)-0.2562*(W236^4)+0.8634*(W236^3)-1.5285*(W236^2)+1.501*W236-0.013)&gt;0.7,0.7,IF((0.0308*(W236^5)-0.2562*(W236^4)+0.8634*(W236^3)-1.5285*(W236^2)+1.501*W236-0.013)&lt;0,0,(0.0308*(W236^5)-0.2562*(W236^4)+0.8634*(W236^3)-1.5285*(W236^2)+1.501*W236-0.013))),IF((0.0152*(W236^5)-0.131*(W236^4)+0.4581*(W236^3)-0.8418*(W236^2)+0.8536*W236-0.0046)&gt;0.65,0.65,IF((0.0152*(W236^5)-0.131*(W236^4)+0.4581*(W236^3)-0.8418*(W236^2)+0.8536*W236-0.0046)&lt;0,0,(0.0152*(W236^5)-0.131*(W236^4)+0.4581*(W236^3)-0.8418*(W236^2)+0.8536*W236-0.0046))))</f>
        <v>0</v>
      </c>
      <c r="AJ236" s="139">
        <f>S236*AI236</f>
        <v>0</v>
      </c>
      <c r="AK236" s="416">
        <f t="shared" si="70"/>
        <v>0</v>
      </c>
      <c r="AL236" s="634">
        <f>IF(ISNA(VLOOKUP(K236,'Efficiency Lookup'!$D$2:$G$35,4,FALSE)),0,VLOOKUP(K236,'Efficiency Lookup'!$D$2:$G$35,4,FALSE))</f>
        <v>0</v>
      </c>
      <c r="AM236" s="139">
        <f>T236*AL236</f>
        <v>0</v>
      </c>
      <c r="AN236" s="637">
        <f>IF(U236="RR",IF((0.0326*(W236^5)-0.2806*(W236^4)+0.9816*(W236^3)-1.8039*(W236^2)+1.8292*W236-0.0098)&gt;0.85,0.85,IF((0.0326*(W236^5)-0.2806*(W236^4)+0.9816*(W236^3)-1.8039*(W236^2)+1.8292*W236-0.0098)&lt;0,0,(0.0326*(W236^5)-0.2806*(W236^4)+0.9816*(W236^3)-1.8039*(W236^2)+1.8292*W236-0.0098))),IF((0.0304*(W236^5)-0.2619*(W236^4)+0.9161*(W236^3)-1.6837*(W236^2)+1.7072*W236-0.0091)&gt;0.8,0.8,IF((0.0304*(W236^5)-0.2619*(W236^4)+0.9161*(W236^3)-1.6837*(W236^2)+1.7072*W236-0.0091)&lt;0,0,(0.0304*(W236^5)-0.2619*(W236^4)+0.9161*(W236^3)-1.6837*(W236^2)+1.7072*W236-0.0091))))</f>
        <v>0</v>
      </c>
      <c r="AO236" s="139">
        <f>T236*AN236</f>
        <v>0</v>
      </c>
      <c r="AP236" s="647">
        <f>IF(AK236=AH236,AM236,AO236)</f>
        <v>0</v>
      </c>
      <c r="AQ236" s="789">
        <f>IF(AF236&lt;0,0,AF236)</f>
        <v>0</v>
      </c>
      <c r="AR236" s="789">
        <f>IF(AK236&lt;0,0,AK236)</f>
        <v>0</v>
      </c>
      <c r="AS236" s="790">
        <f>IF(AP236&lt;0,0,AP236)</f>
        <v>0</v>
      </c>
    </row>
    <row r="237" spans="1:45" ht="30" x14ac:dyDescent="0.25">
      <c r="A237" s="261" t="s">
        <v>714</v>
      </c>
      <c r="B237" s="510">
        <v>38.092230000000001</v>
      </c>
      <c r="C237" s="510">
        <v>-78.468587999999997</v>
      </c>
      <c r="D237" s="510" t="s">
        <v>286</v>
      </c>
      <c r="E237" s="511">
        <v>322.01</v>
      </c>
      <c r="F237" s="669">
        <v>39731</v>
      </c>
      <c r="G237" s="510" t="s">
        <v>281</v>
      </c>
      <c r="H237" s="511"/>
      <c r="I237" s="511"/>
      <c r="J237" s="511" t="s">
        <v>343</v>
      </c>
      <c r="K237" s="511" t="s">
        <v>284</v>
      </c>
      <c r="L237" s="261"/>
      <c r="M237" s="514">
        <f>N237+O237+P237</f>
        <v>0.71846209685249995</v>
      </c>
      <c r="N237" s="672">
        <v>0.53721865784180001</v>
      </c>
      <c r="O237" s="514">
        <v>0.1812434390107</v>
      </c>
      <c r="P237" s="514">
        <v>0</v>
      </c>
      <c r="Q237" s="673">
        <f>+N237/M237</f>
        <v>0.74773416746032018</v>
      </c>
      <c r="R237" s="674">
        <f>IF(L236="TT",(1.76*N237+0.5*O237+0.13*P237)-AF236,1.76*N237+0.5*O237+0.13*P237)</f>
        <v>1.0361265573069181</v>
      </c>
      <c r="S237" s="674">
        <f>IF(L236="TT",(M237*9.39+N237*6.99+O237*2.36)-AK236,M237*9.39+N237*6.99+O237*2.36)</f>
        <v>10.929252023824409</v>
      </c>
      <c r="T237" s="674">
        <f>IF(L236="TT",(M237*676.94+N237*101.08+O237*77.38)-AP236,M237*676.94+N237*101.08+O237*77.38)</f>
        <v>554.68241108862844</v>
      </c>
      <c r="U237" s="1022" t="s">
        <v>285</v>
      </c>
      <c r="V237" s="514" t="s">
        <v>295</v>
      </c>
      <c r="W237" s="675">
        <f>IF(V237="NA", 0, (V237)*12/N237/43560)</f>
        <v>0</v>
      </c>
      <c r="X237" s="634" t="str">
        <f t="shared" si="91"/>
        <v>NA</v>
      </c>
      <c r="Y237" s="676">
        <f>IF(X237="NA",0,R237*X237)</f>
        <v>0</v>
      </c>
      <c r="Z237" s="635">
        <f>IF(ISNA(VLOOKUP(J237,'Efficiency Lookup'!$B$2:$C$38,2,FALSE)),0,(VLOOKUP(J237,'Efficiency Lookup'!$B$2:$C$38,2,FALSE)))</f>
        <v>0.5</v>
      </c>
      <c r="AA237" s="139">
        <f>R237*Z237</f>
        <v>0.51806327865345903</v>
      </c>
      <c r="AB237" s="640">
        <f>IF(ISNA(VLOOKUP(K237,'Efficiency Lookup'!$D$2:$E$35,2,FALSE)),0,VLOOKUP(K237,'Efficiency Lookup'!$D$2:$E$35,2,FALSE))</f>
        <v>0.45</v>
      </c>
      <c r="AC237" s="1022">
        <f>R237*AB237</f>
        <v>0.46625695078811313</v>
      </c>
      <c r="AD237" s="637">
        <f>IF(U237="RR",IF((0.0304*(W237^5)-0.2619*(W237^4)+0.9161*(W237^3)-1.6837*(W237^2)+1.7072*W237-0.0091)&gt;0.85,0.85,IF((0.0304*(W237^5)-0.2619*(W237^4)+0.9161*(W237^3)-1.6837*(W237^2)+1.7072*W237-0.0091)&lt;0,0,(0.0304*(W237^5)-0.2619*(W237^4)+0.9161*(W237^3)-1.6837*(W237^2)+1.7072*W237-0.0091))),IF((0.0239*(W237^5)-0.2058*(W237^4)+0.7198*(W237^3)-1.3229*(W237^2)+1.3414*W237-0.0072)&gt;0.65,0.65,IF((0.0239*(W237^5)-0.2058*(W237^4)+0.7198*(W237^3)-1.3229*(W237^2)+1.3414*W237-0.0072)&lt;0,0,(0.0239*(W237^5)-0.2058*(W237^4)+0.7198*(W237^3)-1.3229*(W237^2)+1.3414*W237-0.0072))))</f>
        <v>0</v>
      </c>
      <c r="AE237" s="139">
        <f>R237*AD237</f>
        <v>0</v>
      </c>
      <c r="AF237" s="516">
        <f>MAX(Y237,AA237,AC237,AE237)</f>
        <v>0.51806327865345903</v>
      </c>
      <c r="AG237" s="636">
        <f>IF(ISNA(VLOOKUP(K237,'Efficiency Lookup'!$D$2:$G$35,3,FALSE)),0,VLOOKUP(K237,'Efficiency Lookup'!$D$2:$G$35,3,FALSE))</f>
        <v>0.25</v>
      </c>
      <c r="AH237" s="1022">
        <f>S237*AG237</f>
        <v>2.7323130059561023</v>
      </c>
      <c r="AI237" s="637">
        <f>IF(U237="RR",IF((0.0308*(W237^5)-0.2562*(W237^4)+0.8634*(W237^3)-1.5285*(W237^2)+1.501*W237-0.013)&gt;0.7,0.7,IF((0.0308*(W237^5)-0.2562*(W237^4)+0.8634*(W237^3)-1.5285*(W237^2)+1.501*W237-0.013)&lt;0,0,(0.0308*(W237^5)-0.2562*(W237^4)+0.8634*(W237^3)-1.5285*(W237^2)+1.501*W237-0.013))),IF((0.0152*(W237^5)-0.131*(W237^4)+0.4581*(W237^3)-0.8418*(W237^2)+0.8536*W237-0.0046)&gt;0.65,0.65,IF((0.0152*(W237^5)-0.131*(W237^4)+0.4581*(W237^3)-0.8418*(W237^2)+0.8536*W237-0.0046)&lt;0,0,(0.0152*(W237^5)-0.131*(W237^4)+0.4581*(W237^3)-0.8418*(W237^2)+0.8536*W237-0.0046))))</f>
        <v>0</v>
      </c>
      <c r="AJ237" s="139">
        <f>S237*AI237</f>
        <v>0</v>
      </c>
      <c r="AK237" s="416">
        <f t="shared" si="70"/>
        <v>2.7323130059561023</v>
      </c>
      <c r="AL237" s="641">
        <f>IF(ISNA(VLOOKUP(K237,'Efficiency Lookup'!$D$2:$G$35,4,FALSE)),0,VLOOKUP(K237,'Efficiency Lookup'!$D$2:$G$35,4,FALSE))</f>
        <v>0.55000000000000004</v>
      </c>
      <c r="AM237" s="1022">
        <f>T237*AL237</f>
        <v>305.07532609874568</v>
      </c>
      <c r="AN237" s="637">
        <f>IF(U237="RR",IF((0.0326*(W237^5)-0.2806*(W237^4)+0.9816*(W237^3)-1.8039*(W237^2)+1.8292*W237-0.0098)&gt;0.85,0.85,IF((0.0326*(W237^5)-0.2806*(W237^4)+0.9816*(W237^3)-1.8039*(W237^2)+1.8292*W237-0.0098)&lt;0,0,(0.0326*(W237^5)-0.2806*(W237^4)+0.9816*(W237^3)-1.8039*(W237^2)+1.8292*W237-0.0098))),IF((0.0304*(W237^5)-0.2619*(W237^4)+0.9161*(W237^3)-1.6837*(W237^2)+1.7072*W237-0.0091)&gt;0.8,0.8,IF((0.0304*(W237^5)-0.2619*(W237^4)+0.9161*(W237^3)-1.6837*(W237^2)+1.7072*W237-0.0091)&lt;0,0,(0.0304*(W237^5)-0.2619*(W237^4)+0.9161*(W237^3)-1.6837*(W237^2)+1.7072*W237-0.0091))))</f>
        <v>0</v>
      </c>
      <c r="AO237" s="139">
        <f>T237*AN237</f>
        <v>0</v>
      </c>
      <c r="AP237" s="647">
        <f>IF(AK237=AH237,AM237,AO237)</f>
        <v>305.07532609874568</v>
      </c>
      <c r="AQ237" s="789">
        <f>IF(AF237&lt;0,0,AF237)</f>
        <v>0.51806327865345903</v>
      </c>
      <c r="AR237" s="789">
        <f>IF(AK237&lt;0,0,AK237)</f>
        <v>2.7323130059561023</v>
      </c>
      <c r="AS237" s="790">
        <f>IF(AP237&lt;0,0,AP237)</f>
        <v>305.07532609874568</v>
      </c>
    </row>
    <row r="238" spans="1:45" x14ac:dyDescent="0.25">
      <c r="A238" s="261"/>
      <c r="B238" s="510" t="s">
        <v>297</v>
      </c>
      <c r="C238" s="510" t="s">
        <v>297</v>
      </c>
      <c r="D238" s="510" t="s">
        <v>297</v>
      </c>
      <c r="E238" s="511"/>
      <c r="F238" s="705"/>
      <c r="G238" s="510"/>
      <c r="H238" s="511"/>
      <c r="I238" s="261" t="str">
        <f>IF(G238="","",IF(G238="Proprietary","Filterra","Clearinghouse Not Used"))</f>
        <v/>
      </c>
      <c r="J238" s="511"/>
      <c r="K238" s="511"/>
      <c r="L238" s="510"/>
      <c r="M238" s="510"/>
      <c r="N238" s="672"/>
      <c r="O238" s="514"/>
      <c r="P238" s="514" t="s">
        <v>297</v>
      </c>
      <c r="Q238" s="688"/>
      <c r="R238" s="674"/>
      <c r="S238" s="674"/>
      <c r="T238" s="674"/>
      <c r="U238" s="1022"/>
      <c r="V238" s="514"/>
      <c r="W238" s="675"/>
      <c r="X238" s="636" t="str">
        <f t="shared" si="91"/>
        <v/>
      </c>
      <c r="Y238" s="706"/>
      <c r="Z238" s="640"/>
      <c r="AA238" s="1022"/>
      <c r="AB238" s="637"/>
      <c r="AC238" s="637"/>
      <c r="AD238" s="637"/>
      <c r="AE238" s="139"/>
      <c r="AF238" s="642"/>
      <c r="AG238" s="583"/>
      <c r="AH238" s="139"/>
      <c r="AI238" s="637"/>
      <c r="AJ238" s="139"/>
      <c r="AK238" s="416" t="str">
        <f t="shared" si="70"/>
        <v/>
      </c>
      <c r="AL238" s="642"/>
      <c r="AM238" s="637"/>
      <c r="AN238" s="637"/>
      <c r="AO238" s="139"/>
      <c r="AP238" s="647"/>
      <c r="AQ238" s="789"/>
      <c r="AR238" s="789"/>
      <c r="AS238" s="790"/>
    </row>
    <row r="239" spans="1:45" x14ac:dyDescent="0.25">
      <c r="A239" s="628"/>
      <c r="B239" s="668" t="s">
        <v>297</v>
      </c>
      <c r="C239" s="668" t="s">
        <v>297</v>
      </c>
      <c r="D239" s="668" t="s">
        <v>297</v>
      </c>
      <c r="E239" s="710"/>
      <c r="F239" s="711"/>
      <c r="G239" s="668"/>
      <c r="H239" s="712"/>
      <c r="I239" s="712" t="str">
        <f>IF(G239="","",IF(G239="Proprietary","Filterra","Clearinghouse Not Used"))</f>
        <v/>
      </c>
      <c r="J239" s="712"/>
      <c r="K239" s="712"/>
      <c r="L239" s="712"/>
      <c r="M239" s="712"/>
      <c r="N239" s="712"/>
      <c r="O239" s="712"/>
      <c r="P239" s="712"/>
      <c r="Q239" s="712"/>
      <c r="R239" s="712"/>
      <c r="S239" s="712"/>
      <c r="T239" s="712"/>
      <c r="U239" s="712"/>
      <c r="V239" s="712"/>
      <c r="W239" s="712"/>
      <c r="X239" s="760" t="str">
        <f t="shared" si="91"/>
        <v/>
      </c>
      <c r="Y239" s="713"/>
      <c r="Z239" s="712"/>
      <c r="AA239" s="712"/>
      <c r="AB239" s="638"/>
      <c r="AC239" s="638"/>
      <c r="AD239" s="638"/>
      <c r="AE239" s="629"/>
      <c r="AF239" s="666"/>
      <c r="AG239" s="666"/>
      <c r="AH239" s="629"/>
      <c r="AI239" s="638"/>
      <c r="AJ239" s="629"/>
      <c r="AK239" s="639" t="str">
        <f t="shared" si="70"/>
        <v/>
      </c>
      <c r="AL239" s="644"/>
      <c r="AM239" s="638"/>
      <c r="AN239" s="638"/>
      <c r="AO239" s="629"/>
      <c r="AP239" s="648"/>
      <c r="AQ239" s="791"/>
      <c r="AR239" s="791"/>
      <c r="AS239" s="792"/>
    </row>
    <row r="240" spans="1:45" ht="14.45" customHeight="1" x14ac:dyDescent="0.25">
      <c r="A240" s="261"/>
      <c r="B240" s="510" t="s">
        <v>297</v>
      </c>
      <c r="C240" s="510" t="s">
        <v>297</v>
      </c>
      <c r="D240" s="510" t="s">
        <v>297</v>
      </c>
      <c r="E240" s="704"/>
      <c r="F240" s="705"/>
      <c r="G240" s="510"/>
      <c r="H240" s="511"/>
      <c r="I240" s="261"/>
      <c r="J240" s="511"/>
      <c r="K240" s="511"/>
      <c r="L240" s="510"/>
      <c r="M240" s="510"/>
      <c r="N240" s="672"/>
      <c r="O240" s="514"/>
      <c r="P240" s="514" t="s">
        <v>297</v>
      </c>
      <c r="Q240" s="688"/>
      <c r="R240" s="674"/>
      <c r="S240" s="674"/>
      <c r="T240" s="674"/>
      <c r="U240" s="1022"/>
      <c r="V240" s="514"/>
      <c r="W240" s="675"/>
      <c r="X240" s="636" t="str">
        <f t="shared" si="91"/>
        <v/>
      </c>
      <c r="Y240" s="706"/>
      <c r="Z240" s="640"/>
      <c r="AA240" s="1022"/>
      <c r="AB240" s="637"/>
      <c r="AC240" s="637"/>
      <c r="AD240" s="637"/>
      <c r="AE240" s="139"/>
      <c r="AF240" s="642"/>
      <c r="AG240" s="583"/>
      <c r="AH240" s="139"/>
      <c r="AI240" s="637"/>
      <c r="AJ240" s="139"/>
      <c r="AK240" s="416" t="str">
        <f t="shared" si="70"/>
        <v/>
      </c>
      <c r="AL240" s="642"/>
      <c r="AM240" s="637"/>
      <c r="AN240" s="637"/>
      <c r="AO240" s="139"/>
      <c r="AP240" s="647"/>
      <c r="AQ240" s="789"/>
      <c r="AR240" s="789"/>
      <c r="AS240" s="790"/>
    </row>
    <row r="241" spans="1:45" ht="30" x14ac:dyDescent="0.25">
      <c r="A241" s="261" t="s">
        <v>716</v>
      </c>
      <c r="B241" s="510">
        <v>38.003822</v>
      </c>
      <c r="C241" s="510">
        <v>-78.497410000000002</v>
      </c>
      <c r="D241" s="510" t="s">
        <v>296</v>
      </c>
      <c r="E241" s="511">
        <v>296.01</v>
      </c>
      <c r="F241" s="669">
        <v>39310</v>
      </c>
      <c r="G241" s="510" t="s">
        <v>281</v>
      </c>
      <c r="H241" s="511"/>
      <c r="I241" s="511"/>
      <c r="J241" s="511" t="s">
        <v>343</v>
      </c>
      <c r="K241" s="511" t="s">
        <v>315</v>
      </c>
      <c r="L241" s="261"/>
      <c r="M241" s="514">
        <f>N241+O241+P241</f>
        <v>1.2551254092150002</v>
      </c>
      <c r="N241" s="672">
        <v>0.73338684471000004</v>
      </c>
      <c r="O241" s="514">
        <v>0.521738564505</v>
      </c>
      <c r="P241" s="514">
        <v>0</v>
      </c>
      <c r="Q241" s="673">
        <f>+N241/M241</f>
        <v>0.58431359872531474</v>
      </c>
      <c r="R241" s="674">
        <f>IF(L240="TT",(1.76*N241+0.5*O241+0.13*P241)-AF240,1.76*N241+0.5*O241+0.13*P241)</f>
        <v>1.5516301289421002</v>
      </c>
      <c r="S241" s="674">
        <f>IF(L240="TT",(M241*9.39+N241*6.99+O241*2.36)-AK240,M241*9.39+N241*6.99+O241*2.36)</f>
        <v>18.14330464928355</v>
      </c>
      <c r="T241" s="674">
        <f>IF(L240="TT",(M241*676.94+N241*101.08+O241*77.38)-AP240,M241*676.94+N241*101.08+O241*77.38)</f>
        <v>964.14746689868605</v>
      </c>
      <c r="U241" s="1022" t="s">
        <v>285</v>
      </c>
      <c r="V241" s="514">
        <v>1013.5976400000001</v>
      </c>
      <c r="W241" s="675">
        <f>IF(V241="NA", 0, (V241)*12/N241/43560)</f>
        <v>0.38073767209502363</v>
      </c>
      <c r="X241" s="634" t="str">
        <f t="shared" si="91"/>
        <v>NA</v>
      </c>
      <c r="Y241" s="676">
        <f>IF(X241="NA",0,R241*X241)</f>
        <v>0</v>
      </c>
      <c r="Z241" s="635">
        <f>IF(ISNA(VLOOKUP(J241,'Efficiency Lookup'!$B$2:$C$38,2,FALSE)),0,(VLOOKUP(J241,'Efficiency Lookup'!$B$2:$C$38,2,FALSE)))</f>
        <v>0.5</v>
      </c>
      <c r="AA241" s="139">
        <f>R241*Z241</f>
        <v>0.77581506447105009</v>
      </c>
      <c r="AB241" s="640">
        <f>IF(ISNA(VLOOKUP(K241,'Efficiency Lookup'!$D$2:$E$35,2,FALSE)),0,VLOOKUP(K241,'Efficiency Lookup'!$D$2:$E$35,2,FALSE))</f>
        <v>0.75</v>
      </c>
      <c r="AC241" s="1022">
        <f>R241*AB241</f>
        <v>1.1637225967065752</v>
      </c>
      <c r="AD241" s="637">
        <f>IF(U241="RR",IF((0.0304*(W241^5)-0.2619*(W241^4)+0.9161*(W241^3)-1.6837*(W241^2)+1.7072*W241-0.0091)&gt;0.85,0.85,IF((0.0304*(W241^5)-0.2619*(W241^4)+0.9161*(W241^3)-1.6837*(W241^2)+1.7072*W241-0.0091)&lt;0,0,(0.0304*(W241^5)-0.2619*(W241^4)+0.9161*(W241^3)-1.6837*(W241^2)+1.7072*W241-0.0091))),IF((0.0239*(W241^5)-0.2058*(W241^4)+0.7198*(W241^3)-1.3229*(W241^2)+1.3414*W241-0.0072)&gt;0.65,0.65,IF((0.0239*(W241^5)-0.2058*(W241^4)+0.7198*(W241^3)-1.3229*(W241^2)+1.3414*W241-0.0072)&lt;0,0,(0.0239*(W241^5)-0.2058*(W241^4)+0.7198*(W241^3)-1.3229*(W241^2)+1.3414*W241-0.0072))))</f>
        <v>0.44212550279693946</v>
      </c>
      <c r="AE241" s="139">
        <f>R241*AD241</f>
        <v>0.68601525091340609</v>
      </c>
      <c r="AF241" s="516">
        <f>MAX(Y241,AA241,AC241,AE241)</f>
        <v>1.1637225967065752</v>
      </c>
      <c r="AG241" s="636">
        <f>IF(ISNA(VLOOKUP(K241,'Efficiency Lookup'!$D$2:$G$35,3,FALSE)),0,VLOOKUP(K241,'Efficiency Lookup'!$D$2:$G$35,3,FALSE))</f>
        <v>0.7</v>
      </c>
      <c r="AH241" s="1022">
        <f>S241*AG241</f>
        <v>12.700313254498484</v>
      </c>
      <c r="AI241" s="637">
        <f>IF(U241="RR",IF((0.0308*(W241^5)-0.2562*(W241^4)+0.8634*(W241^3)-1.5285*(W241^2)+1.501*W241-0.013)&gt;0.7,0.7,IF((0.0308*(W241^5)-0.2562*(W241^4)+0.8634*(W241^3)-1.5285*(W241^2)+1.501*W241-0.013)&lt;0,0,(0.0308*(W241^5)-0.2562*(W241^4)+0.8634*(W241^3)-1.5285*(W241^2)+1.501*W241-0.013))),IF((0.0152*(W241^5)-0.131*(W241^4)+0.4581*(W241^3)-0.8418*(W241^2)+0.8536*W241-0.0046)&gt;0.65,0.65,IF((0.0152*(W241^5)-0.131*(W241^4)+0.4581*(W241^3)-0.8418*(W241^2)+0.8536*W241-0.0046)&lt;0,0,(0.0152*(W241^5)-0.131*(W241^4)+0.4581*(W241^3)-0.8418*(W241^2)+0.8536*W241-0.0046))))</f>
        <v>0.37942971988208463</v>
      </c>
      <c r="AJ241" s="139">
        <f>S241*AI241</f>
        <v>6.8841090008129813</v>
      </c>
      <c r="AK241" s="416">
        <f t="shared" si="70"/>
        <v>12.700313254498484</v>
      </c>
      <c r="AL241" s="641">
        <f>IF(ISNA(VLOOKUP(K241,'Efficiency Lookup'!$D$2:$G$35,4,FALSE)),0,VLOOKUP(K241,'Efficiency Lookup'!$D$2:$G$35,4,FALSE))</f>
        <v>0.8</v>
      </c>
      <c r="AM241" s="1022">
        <f>T241*AL241</f>
        <v>771.31797351894886</v>
      </c>
      <c r="AN241" s="637">
        <f>IF(U241="RR",IF((0.0326*(W241^5)-0.2806*(W241^4)+0.9816*(W241^3)-1.8039*(W241^2)+1.8292*W241-0.0098)&gt;0.85,0.85,IF((0.0326*(W241^5)-0.2806*(W241^4)+0.9816*(W241^3)-1.8039*(W241^2)+1.8292*W241-0.0098)&lt;0,0,(0.0326*(W241^5)-0.2806*(W241^4)+0.9816*(W241^3)-1.8039*(W241^2)+1.8292*W241-0.0098))),IF((0.0304*(W241^5)-0.2619*(W241^4)+0.9161*(W241^3)-1.6837*(W241^2)+1.7072*W241-0.0091)&gt;0.8,0.8,IF((0.0304*(W241^5)-0.2619*(W241^4)+0.9161*(W241^3)-1.6837*(W241^2)+1.7072*W241-0.0091)&lt;0,0,(0.0304*(W241^5)-0.2619*(W241^4)+0.9161*(W241^3)-1.6837*(W241^2)+1.7072*W241-0.0091))))</f>
        <v>0.47369089798393121</v>
      </c>
      <c r="AO241" s="139">
        <f>T241*AN241</f>
        <v>456.70787938417118</v>
      </c>
      <c r="AP241" s="647">
        <f>IF(AK241=AH241,AM241,AO241)</f>
        <v>771.31797351894886</v>
      </c>
      <c r="AQ241" s="789">
        <f>IF(AF241&lt;0,0,AF241)</f>
        <v>1.1637225967065752</v>
      </c>
      <c r="AR241" s="789">
        <f>IF(AK241&lt;0,0,AK241)</f>
        <v>12.700313254498484</v>
      </c>
      <c r="AS241" s="790">
        <f>IF(AP241&lt;0,0,AP241)</f>
        <v>771.31797351894886</v>
      </c>
    </row>
    <row r="242" spans="1:45" x14ac:dyDescent="0.25">
      <c r="A242" s="261"/>
      <c r="B242" s="510" t="s">
        <v>297</v>
      </c>
      <c r="C242" s="510" t="s">
        <v>297</v>
      </c>
      <c r="D242" s="510" t="s">
        <v>297</v>
      </c>
      <c r="E242" s="511"/>
      <c r="F242" s="705"/>
      <c r="G242" s="510"/>
      <c r="H242" s="511"/>
      <c r="I242" s="261"/>
      <c r="J242" s="511"/>
      <c r="K242" s="511"/>
      <c r="L242" s="510"/>
      <c r="M242" s="510"/>
      <c r="N242" s="672"/>
      <c r="O242" s="514"/>
      <c r="P242" s="514" t="s">
        <v>297</v>
      </c>
      <c r="Q242" s="688"/>
      <c r="R242" s="674"/>
      <c r="S242" s="674"/>
      <c r="T242" s="674"/>
      <c r="U242" s="1022"/>
      <c r="V242" s="514"/>
      <c r="W242" s="675"/>
      <c r="X242" s="636" t="str">
        <f t="shared" si="91"/>
        <v/>
      </c>
      <c r="Y242" s="706"/>
      <c r="Z242" s="640"/>
      <c r="AA242" s="1022"/>
      <c r="AB242" s="637"/>
      <c r="AC242" s="637"/>
      <c r="AD242" s="637"/>
      <c r="AE242" s="139"/>
      <c r="AF242" s="642"/>
      <c r="AG242" s="583"/>
      <c r="AH242" s="139"/>
      <c r="AI242" s="637"/>
      <c r="AJ242" s="139"/>
      <c r="AK242" s="416" t="str">
        <f t="shared" si="70"/>
        <v/>
      </c>
      <c r="AL242" s="642"/>
      <c r="AM242" s="637"/>
      <c r="AN242" s="637"/>
      <c r="AO242" s="139"/>
      <c r="AP242" s="647"/>
      <c r="AQ242" s="789"/>
      <c r="AR242" s="789"/>
      <c r="AS242" s="790"/>
    </row>
    <row r="243" spans="1:45" x14ac:dyDescent="0.25">
      <c r="A243" s="628"/>
      <c r="B243" s="668" t="s">
        <v>297</v>
      </c>
      <c r="C243" s="668" t="s">
        <v>297</v>
      </c>
      <c r="D243" s="668" t="s">
        <v>297</v>
      </c>
      <c r="E243" s="710"/>
      <c r="F243" s="711"/>
      <c r="G243" s="668"/>
      <c r="H243" s="712"/>
      <c r="I243" s="712"/>
      <c r="J243" s="712"/>
      <c r="K243" s="712"/>
      <c r="L243" s="712"/>
      <c r="M243" s="712"/>
      <c r="N243" s="712"/>
      <c r="O243" s="712"/>
      <c r="P243" s="712"/>
      <c r="Q243" s="712"/>
      <c r="R243" s="712"/>
      <c r="S243" s="712"/>
      <c r="T243" s="712"/>
      <c r="U243" s="712"/>
      <c r="V243" s="712"/>
      <c r="W243" s="712"/>
      <c r="X243" s="760" t="str">
        <f t="shared" si="91"/>
        <v/>
      </c>
      <c r="Y243" s="713"/>
      <c r="Z243" s="712"/>
      <c r="AA243" s="712"/>
      <c r="AB243" s="638"/>
      <c r="AC243" s="638"/>
      <c r="AD243" s="638"/>
      <c r="AE243" s="629"/>
      <c r="AF243" s="666"/>
      <c r="AG243" s="666"/>
      <c r="AH243" s="629"/>
      <c r="AI243" s="638"/>
      <c r="AJ243" s="629"/>
      <c r="AK243" s="639" t="str">
        <f t="shared" si="70"/>
        <v/>
      </c>
      <c r="AL243" s="644"/>
      <c r="AM243" s="638"/>
      <c r="AN243" s="638"/>
      <c r="AO243" s="629"/>
      <c r="AP243" s="648"/>
      <c r="AQ243" s="791"/>
      <c r="AR243" s="791"/>
      <c r="AS243" s="792"/>
    </row>
    <row r="244" spans="1:45" ht="14.45" customHeight="1" x14ac:dyDescent="0.25">
      <c r="A244" s="261"/>
      <c r="B244" s="510" t="s">
        <v>297</v>
      </c>
      <c r="C244" s="510" t="s">
        <v>297</v>
      </c>
      <c r="D244" s="510" t="s">
        <v>297</v>
      </c>
      <c r="E244" s="704"/>
      <c r="F244" s="705"/>
      <c r="G244" s="510"/>
      <c r="H244" s="511"/>
      <c r="I244" s="261"/>
      <c r="J244" s="511"/>
      <c r="K244" s="511"/>
      <c r="L244" s="510"/>
      <c r="M244" s="510"/>
      <c r="N244" s="672"/>
      <c r="O244" s="514"/>
      <c r="P244" s="514" t="s">
        <v>297</v>
      </c>
      <c r="Q244" s="688"/>
      <c r="R244" s="674"/>
      <c r="S244" s="674"/>
      <c r="T244" s="674"/>
      <c r="U244" s="1022"/>
      <c r="V244" s="514"/>
      <c r="W244" s="675"/>
      <c r="X244" s="636" t="str">
        <f t="shared" si="91"/>
        <v/>
      </c>
      <c r="Y244" s="706"/>
      <c r="Z244" s="640"/>
      <c r="AA244" s="1022"/>
      <c r="AB244" s="637"/>
      <c r="AC244" s="637"/>
      <c r="AD244" s="637"/>
      <c r="AE244" s="139"/>
      <c r="AF244" s="642"/>
      <c r="AG244" s="583"/>
      <c r="AH244" s="139"/>
      <c r="AI244" s="637"/>
      <c r="AJ244" s="139"/>
      <c r="AK244" s="416" t="str">
        <f t="shared" si="70"/>
        <v/>
      </c>
      <c r="AL244" s="642"/>
      <c r="AM244" s="637"/>
      <c r="AN244" s="637"/>
      <c r="AO244" s="139"/>
      <c r="AP244" s="647"/>
      <c r="AQ244" s="789"/>
      <c r="AR244" s="789"/>
      <c r="AS244" s="790"/>
    </row>
    <row r="245" spans="1:45" ht="30" x14ac:dyDescent="0.25">
      <c r="A245" s="261" t="s">
        <v>717</v>
      </c>
      <c r="B245" s="510">
        <v>37.988461000000001</v>
      </c>
      <c r="C245" s="510">
        <v>-78.503843000000003</v>
      </c>
      <c r="D245" s="510" t="s">
        <v>296</v>
      </c>
      <c r="E245" s="511">
        <v>332.01</v>
      </c>
      <c r="F245" s="669">
        <v>40246</v>
      </c>
      <c r="G245" s="510" t="s">
        <v>281</v>
      </c>
      <c r="H245" s="670"/>
      <c r="I245" s="511"/>
      <c r="J245" s="511" t="s">
        <v>343</v>
      </c>
      <c r="K245" s="511" t="s">
        <v>315</v>
      </c>
      <c r="L245" s="671"/>
      <c r="M245" s="671">
        <f>N245+O245+P245</f>
        <v>5.7815091101193863</v>
      </c>
      <c r="N245" s="672">
        <v>2.8467954774400002</v>
      </c>
      <c r="O245" s="514">
        <v>2.3471701618533869</v>
      </c>
      <c r="P245" s="514">
        <v>0.587543470826</v>
      </c>
      <c r="Q245" s="673">
        <f>+N245/M245</f>
        <v>0.49239660843174121</v>
      </c>
      <c r="R245" s="674">
        <f>IF(L244="TT",(1.76*N245+0.5*O245+0.13*P245)-AF244,1.76*N245+0.5*O245+0.13*P245)</f>
        <v>6.2603257724284731</v>
      </c>
      <c r="S245" s="674">
        <f>IF(L244="TT",(M245*9.39+N245*6.99+O245*2.36)-AK244,M245*9.39+N245*6.99+O245*2.36)</f>
        <v>79.726792513300637</v>
      </c>
      <c r="T245" s="674">
        <f>IF(L244="TT",(M245*676.94+N245*101.08+O245*77.38)-AP244,M245*676.94+N245*101.08+O245*77.38)</f>
        <v>4383.1128909880681</v>
      </c>
      <c r="U245" s="1022" t="s">
        <v>285</v>
      </c>
      <c r="V245" s="514">
        <v>10306.98</v>
      </c>
      <c r="W245" s="675">
        <f>IF(V245="NA", 0, (V245)*12/N245/43560)</f>
        <v>0.99739811035017001</v>
      </c>
      <c r="X245" s="634" t="str">
        <f t="shared" si="91"/>
        <v>NA</v>
      </c>
      <c r="Y245" s="676">
        <f>IF(X245="NA",0,R245*X245)</f>
        <v>0</v>
      </c>
      <c r="Z245" s="635">
        <f>IF(ISNA(VLOOKUP(J245,'Efficiency Lookup'!$B$2:$C$38,2,FALSE)),0,(VLOOKUP(J245,'Efficiency Lookup'!$B$2:$C$38,2,FALSE)))</f>
        <v>0.5</v>
      </c>
      <c r="AA245" s="139">
        <f>R245*Z245</f>
        <v>3.1301628862142366</v>
      </c>
      <c r="AB245" s="1061">
        <f>IF(ISNA(VLOOKUP(K245,'Efficiency Lookup'!$D$2:$E$35,2,FALSE)),0,VLOOKUP(K245,'Efficiency Lookup'!$D$2:$E$35,2,FALSE))</f>
        <v>0.75</v>
      </c>
      <c r="AC245" s="1005">
        <f>R245*AB245</f>
        <v>4.6952443293213548</v>
      </c>
      <c r="AD245" s="637">
        <f>IF(U245="RR",IF((0.0304*(W245^5)-0.2619*(W245^4)+0.9161*(W245^3)-1.6837*(W245^2)+1.7072*W245-0.0091)&gt;0.85,0.85,IF((0.0304*(W245^5)-0.2619*(W245^4)+0.9161*(W245^3)-1.6837*(W245^2)+1.7072*W245-0.0091)&lt;0,0,(0.0304*(W245^5)-0.2619*(W245^4)+0.9161*(W245^3)-1.6837*(W245^2)+1.7072*W245-0.0091))),IF((0.0239*(W245^5)-0.2058*(W245^4)+0.7198*(W245^3)-1.3229*(W245^2)+1.3414*W245-0.0072)&gt;0.65,0.65,IF((0.0239*(W245^5)-0.2058*(W245^4)+0.7198*(W245^3)-1.3229*(W245^2)+1.3414*W245-0.0072)&lt;0,0,(0.0239*(W245^5)-0.2058*(W245^4)+0.7198*(W245^3)-1.3229*(W245^2)+1.3414*W245-0.0072))))</f>
        <v>0.69849776027741883</v>
      </c>
      <c r="AE245" s="139">
        <f>R245*AD245</f>
        <v>4.3728235306482901</v>
      </c>
      <c r="AF245" s="516">
        <f>MAX(Y245,AA245,AC245,AE245)</f>
        <v>4.6952443293213548</v>
      </c>
      <c r="AG245" s="641">
        <f>IF(ISNA(VLOOKUP(K245,'Efficiency Lookup'!$D$2:$G$35,3,FALSE)),0,VLOOKUP(K245,'Efficiency Lookup'!$D$2:$G$35,3,FALSE))</f>
        <v>0.7</v>
      </c>
      <c r="AH245" s="1005">
        <f>S245*AG245</f>
        <v>55.808754759310446</v>
      </c>
      <c r="AI245" s="637">
        <f>IF(U245="RR",IF((0.0308*(W245^5)-0.2562*(W245^4)+0.8634*(W245^3)-1.5285*(W245^2)+1.501*W245-0.013)&gt;0.7,0.7,IF((0.0308*(W245^5)-0.2562*(W245^4)+0.8634*(W245^3)-1.5285*(W245^2)+1.501*W245-0.013)&lt;0,0,(0.0308*(W245^5)-0.2562*(W245^4)+0.8634*(W245^3)-1.5285*(W245^2)+1.501*W245-0.013))),IF((0.0152*(W245^5)-0.131*(W245^4)+0.4581*(W245^3)-0.8418*(W245^2)+0.8536*W245-0.0046)&gt;0.65,0.65,IF((0.0152*(W245^5)-0.131*(W245^4)+0.4581*(W245^3)-0.8418*(W245^2)+0.8536*W245-0.0046)&lt;0,0,(0.0152*(W245^5)-0.131*(W245^4)+0.4581*(W245^3)-0.8418*(W245^2)+0.8536*W245-0.0046))))</f>
        <v>0.59707371469778325</v>
      </c>
      <c r="AJ245" s="139">
        <f>S245*AI245</f>
        <v>47.602772166855829</v>
      </c>
      <c r="AK245" s="416">
        <f t="shared" si="70"/>
        <v>55.808754759310446</v>
      </c>
      <c r="AL245" s="641">
        <f>IF(ISNA(VLOOKUP(K245,'Efficiency Lookup'!$D$2:$G$35,4,FALSE)),0,VLOOKUP(K245,'Efficiency Lookup'!$D$2:$G$35,4,FALSE))</f>
        <v>0.8</v>
      </c>
      <c r="AM245" s="1005">
        <f>T245*AL245</f>
        <v>3506.4903127904545</v>
      </c>
      <c r="AN245" s="637">
        <f>IF(U245="RR",IF((0.0326*(W245^5)-0.2806*(W245^4)+0.9816*(W245^3)-1.8039*(W245^2)+1.8292*W245-0.0098)&gt;0.85,0.85,IF((0.0326*(W245^5)-0.2806*(W245^4)+0.9816*(W245^3)-1.8039*(W245^2)+1.8292*W245-0.0098)&lt;0,0,(0.0326*(W245^5)-0.2806*(W245^4)+0.9816*(W245^3)-1.8039*(W245^2)+1.8292*W245-0.0098))),IF((0.0304*(W245^5)-0.2619*(W245^4)+0.9161*(W245^3)-1.6837*(W245^2)+1.7072*W245-0.0091)&gt;0.8,0.8,IF((0.0304*(W245^5)-0.2619*(W245^4)+0.9161*(W245^3)-1.6837*(W245^2)+1.7072*W245-0.0091)&lt;0,0,(0.0304*(W245^5)-0.2619*(W245^4)+0.9161*(W245^3)-1.6837*(W245^2)+1.7072*W245-0.0091))))</f>
        <v>0.74856045893073708</v>
      </c>
      <c r="AO245" s="139">
        <f>T245*AN245</f>
        <v>3281.0249972232582</v>
      </c>
      <c r="AP245" s="647">
        <f>IF(AK245=AH245,AM245,AO245)</f>
        <v>3506.4903127904545</v>
      </c>
      <c r="AQ245" s="789">
        <f>IF(AF245&lt;0,0,AF245)</f>
        <v>4.6952443293213548</v>
      </c>
      <c r="AR245" s="789">
        <f>IF(AK245&lt;0,0,AK245)</f>
        <v>55.808754759310446</v>
      </c>
      <c r="AS245" s="790">
        <f>IF(AP245&lt;0,0,AP245)</f>
        <v>3506.4903127904545</v>
      </c>
    </row>
    <row r="246" spans="1:45" x14ac:dyDescent="0.25">
      <c r="A246" s="261"/>
      <c r="B246" s="510" t="s">
        <v>297</v>
      </c>
      <c r="C246" s="510" t="s">
        <v>297</v>
      </c>
      <c r="D246" s="510" t="s">
        <v>297</v>
      </c>
      <c r="E246" s="511"/>
      <c r="F246" s="705"/>
      <c r="G246" s="510"/>
      <c r="H246" s="511"/>
      <c r="I246" s="261"/>
      <c r="J246" s="511"/>
      <c r="K246" s="511"/>
      <c r="L246" s="510"/>
      <c r="M246" s="510"/>
      <c r="N246" s="672"/>
      <c r="O246" s="514"/>
      <c r="P246" s="514" t="s">
        <v>297</v>
      </c>
      <c r="Q246" s="688"/>
      <c r="R246" s="674"/>
      <c r="S246" s="674"/>
      <c r="T246" s="674"/>
      <c r="U246" s="1022"/>
      <c r="V246" s="514"/>
      <c r="W246" s="675"/>
      <c r="X246" s="636" t="str">
        <f t="shared" si="91"/>
        <v/>
      </c>
      <c r="Y246" s="706"/>
      <c r="Z246" s="640"/>
      <c r="AA246" s="1022"/>
      <c r="AB246" s="637"/>
      <c r="AC246" s="637"/>
      <c r="AD246" s="637"/>
      <c r="AE246" s="139"/>
      <c r="AF246" s="642"/>
      <c r="AG246" s="583"/>
      <c r="AH246" s="139"/>
      <c r="AI246" s="637"/>
      <c r="AJ246" s="139"/>
      <c r="AK246" s="416" t="str">
        <f t="shared" si="70"/>
        <v/>
      </c>
      <c r="AL246" s="642"/>
      <c r="AM246" s="637"/>
      <c r="AN246" s="637"/>
      <c r="AO246" s="139"/>
      <c r="AP246" s="647"/>
      <c r="AQ246" s="789"/>
      <c r="AR246" s="789"/>
      <c r="AS246" s="790"/>
    </row>
    <row r="247" spans="1:45" x14ac:dyDescent="0.25">
      <c r="A247" s="628"/>
      <c r="B247" s="668" t="s">
        <v>297</v>
      </c>
      <c r="C247" s="668" t="s">
        <v>297</v>
      </c>
      <c r="D247" s="668" t="s">
        <v>297</v>
      </c>
      <c r="E247" s="710"/>
      <c r="F247" s="711"/>
      <c r="G247" s="668"/>
      <c r="H247" s="712"/>
      <c r="I247" s="712"/>
      <c r="J247" s="712"/>
      <c r="K247" s="712"/>
      <c r="L247" s="712"/>
      <c r="M247" s="712"/>
      <c r="N247" s="712"/>
      <c r="O247" s="712"/>
      <c r="P247" s="712"/>
      <c r="Q247" s="712"/>
      <c r="R247" s="712"/>
      <c r="S247" s="712"/>
      <c r="T247" s="712"/>
      <c r="U247" s="712"/>
      <c r="V247" s="712"/>
      <c r="W247" s="712"/>
      <c r="X247" s="760" t="str">
        <f t="shared" si="91"/>
        <v/>
      </c>
      <c r="Y247" s="713"/>
      <c r="Z247" s="712"/>
      <c r="AA247" s="712"/>
      <c r="AB247" s="638"/>
      <c r="AC247" s="638"/>
      <c r="AD247" s="638"/>
      <c r="AE247" s="629"/>
      <c r="AF247" s="666"/>
      <c r="AG247" s="666"/>
      <c r="AH247" s="629"/>
      <c r="AI247" s="638"/>
      <c r="AJ247" s="629"/>
      <c r="AK247" s="639" t="str">
        <f t="shared" si="70"/>
        <v/>
      </c>
      <c r="AL247" s="644"/>
      <c r="AM247" s="638"/>
      <c r="AN247" s="638"/>
      <c r="AO247" s="629"/>
      <c r="AP247" s="648"/>
      <c r="AQ247" s="791"/>
      <c r="AR247" s="791"/>
      <c r="AS247" s="792"/>
    </row>
    <row r="248" spans="1:45" ht="14.45" customHeight="1" x14ac:dyDescent="0.25">
      <c r="A248" s="261"/>
      <c r="B248" s="510" t="s">
        <v>297</v>
      </c>
      <c r="C248" s="510" t="s">
        <v>297</v>
      </c>
      <c r="D248" s="510" t="s">
        <v>297</v>
      </c>
      <c r="E248" s="704"/>
      <c r="F248" s="705"/>
      <c r="G248" s="510"/>
      <c r="H248" s="511"/>
      <c r="I248" s="261"/>
      <c r="J248" s="511"/>
      <c r="K248" s="511"/>
      <c r="L248" s="510"/>
      <c r="M248" s="510"/>
      <c r="N248" s="672"/>
      <c r="O248" s="514"/>
      <c r="P248" s="514" t="s">
        <v>297</v>
      </c>
      <c r="Q248" s="688"/>
      <c r="R248" s="674"/>
      <c r="S248" s="674"/>
      <c r="T248" s="674"/>
      <c r="U248" s="1022"/>
      <c r="V248" s="514"/>
      <c r="W248" s="675"/>
      <c r="X248" s="636" t="str">
        <f t="shared" si="91"/>
        <v/>
      </c>
      <c r="Y248" s="706"/>
      <c r="Z248" s="640"/>
      <c r="AA248" s="1022"/>
      <c r="AB248" s="637"/>
      <c r="AC248" s="637"/>
      <c r="AD248" s="637"/>
      <c r="AE248" s="139"/>
      <c r="AF248" s="642"/>
      <c r="AG248" s="583"/>
      <c r="AH248" s="139"/>
      <c r="AI248" s="637"/>
      <c r="AJ248" s="139"/>
      <c r="AK248" s="416" t="str">
        <f t="shared" si="70"/>
        <v/>
      </c>
      <c r="AL248" s="642"/>
      <c r="AM248" s="637"/>
      <c r="AN248" s="637"/>
      <c r="AO248" s="139"/>
      <c r="AP248" s="647"/>
      <c r="AQ248" s="789"/>
      <c r="AR248" s="789"/>
      <c r="AS248" s="790"/>
    </row>
    <row r="249" spans="1:45" ht="105" x14ac:dyDescent="0.25">
      <c r="A249" s="261" t="s">
        <v>718</v>
      </c>
      <c r="B249" s="510">
        <v>38.092323999999998</v>
      </c>
      <c r="C249" s="510">
        <v>-78.473838999999998</v>
      </c>
      <c r="D249" s="510" t="s">
        <v>296</v>
      </c>
      <c r="E249" s="511">
        <v>267.02</v>
      </c>
      <c r="F249" s="669">
        <v>39029</v>
      </c>
      <c r="G249" s="510" t="s">
        <v>293</v>
      </c>
      <c r="H249" s="511" t="s">
        <v>719</v>
      </c>
      <c r="I249" s="511"/>
      <c r="J249" s="511"/>
      <c r="K249" s="511"/>
      <c r="L249" s="261" t="s">
        <v>292</v>
      </c>
      <c r="M249" s="514">
        <f>N249+O249+P249</f>
        <v>2.2673216466270016</v>
      </c>
      <c r="N249" s="672">
        <v>0.91217215770248006</v>
      </c>
      <c r="O249" s="514">
        <v>1.2647855329839999</v>
      </c>
      <c r="P249" s="514">
        <v>9.0363955940521989E-2</v>
      </c>
      <c r="Q249" s="673">
        <f>+N249/M249</f>
        <v>0.40231264014061696</v>
      </c>
      <c r="R249" s="674">
        <f>IF(L248="TT",(1.76*N249+0.5*O249+0.13*P249)-AF248,1.76*N249+0.5*O249+0.13*P249)</f>
        <v>2.2495630783206328</v>
      </c>
      <c r="S249" s="674">
        <f>IF(L248="TT",(M249*9.39+N249*6.99+O249*2.36)-AK248,M249*9.39+N249*6.99+O249*2.36)</f>
        <v>30.651127502010119</v>
      </c>
      <c r="T249" s="674">
        <f>IF(L248="TT",(M249*676.94+N249*101.08+O249*77.38)-AP248,M249*676.94+N249*101.08+O249*77.38)</f>
        <v>1724.9121817105511</v>
      </c>
      <c r="U249" s="1022" t="s">
        <v>295</v>
      </c>
      <c r="V249" s="514" t="s">
        <v>295</v>
      </c>
      <c r="W249" s="675">
        <f>IF(V249="NA", 0, (V249)*12/N249/43560)</f>
        <v>0</v>
      </c>
      <c r="X249" s="634" t="str">
        <f t="shared" si="91"/>
        <v>NA</v>
      </c>
      <c r="Y249" s="676">
        <f>IF(X249="NA",0,R249*X249)</f>
        <v>0</v>
      </c>
      <c r="Z249" s="635">
        <f>IF(ISNA(VLOOKUP(J249,'Efficiency Lookup'!$B$2:$C$38,2,FALSE)),0,(VLOOKUP(J249,'Efficiency Lookup'!$B$2:$C$38,2,FALSE)))</f>
        <v>0</v>
      </c>
      <c r="AA249" s="139">
        <f>R249*Z249</f>
        <v>0</v>
      </c>
      <c r="AB249" s="635">
        <f>IF(ISNA(VLOOKUP(K249,'Efficiency Lookup'!$D$2:$E$35,2,FALSE)),0,VLOOKUP(K249,'Efficiency Lookup'!$D$2:$E$35,2,FALSE))</f>
        <v>0</v>
      </c>
      <c r="AC249" s="139">
        <f>R249*AB249</f>
        <v>0</v>
      </c>
      <c r="AD249" s="637">
        <f>IF(U249="RR",IF((0.0304*(W249^5)-0.2619*(W249^4)+0.9161*(W249^3)-1.6837*(W249^2)+1.7072*W249-0.0091)&gt;0.85,0.85,IF((0.0304*(W249^5)-0.2619*(W249^4)+0.9161*(W249^3)-1.6837*(W249^2)+1.7072*W249-0.0091)&lt;0,0,(0.0304*(W249^5)-0.2619*(W249^4)+0.9161*(W249^3)-1.6837*(W249^2)+1.7072*W249-0.0091))),IF((0.0239*(W249^5)-0.2058*(W249^4)+0.7198*(W249^3)-1.3229*(W249^2)+1.3414*W249-0.0072)&gt;0.65,0.65,IF((0.0239*(W249^5)-0.2058*(W249^4)+0.7198*(W249^3)-1.3229*(W249^2)+1.3414*W249-0.0072)&lt;0,0,(0.0239*(W249^5)-0.2058*(W249^4)+0.7198*(W249^3)-1.3229*(W249^2)+1.3414*W249-0.0072))))</f>
        <v>0</v>
      </c>
      <c r="AE249" s="139">
        <f>R249*AD249</f>
        <v>0</v>
      </c>
      <c r="AF249" s="516">
        <f>MAX(Y249,AA249,AC249,AE249)</f>
        <v>0</v>
      </c>
      <c r="AG249" s="634">
        <f>IF(ISNA(VLOOKUP(K249,'Efficiency Lookup'!$D$2:$G$35,3,FALSE)),0,VLOOKUP(K249,'Efficiency Lookup'!$D$2:$G$35,3,FALSE))</f>
        <v>0</v>
      </c>
      <c r="AH249" s="139">
        <f>S249*AG249</f>
        <v>0</v>
      </c>
      <c r="AI249" s="637">
        <f>IF(U249="RR",IF((0.0308*(W249^5)-0.2562*(W249^4)+0.8634*(W249^3)-1.5285*(W249^2)+1.501*W249-0.013)&gt;0.7,0.7,IF((0.0308*(W249^5)-0.2562*(W249^4)+0.8634*(W249^3)-1.5285*(W249^2)+1.501*W249-0.013)&lt;0,0,(0.0308*(W249^5)-0.2562*(W249^4)+0.8634*(W249^3)-1.5285*(W249^2)+1.501*W249-0.013))),IF((0.0152*(W249^5)-0.131*(W249^4)+0.4581*(W249^3)-0.8418*(W249^2)+0.8536*W249-0.0046)&gt;0.65,0.65,IF((0.0152*(W249^5)-0.131*(W249^4)+0.4581*(W249^3)-0.8418*(W249^2)+0.8536*W249-0.0046)&lt;0,0,(0.0152*(W249^5)-0.131*(W249^4)+0.4581*(W249^3)-0.8418*(W249^2)+0.8536*W249-0.0046))))</f>
        <v>0</v>
      </c>
      <c r="AJ249" s="139">
        <f>S249*AI249</f>
        <v>0</v>
      </c>
      <c r="AK249" s="416">
        <f t="shared" si="70"/>
        <v>0</v>
      </c>
      <c r="AL249" s="634">
        <f>IF(ISNA(VLOOKUP(K249,'Efficiency Lookup'!$D$2:$G$35,4,FALSE)),0,VLOOKUP(K249,'Efficiency Lookup'!$D$2:$G$35,4,FALSE))</f>
        <v>0</v>
      </c>
      <c r="AM249" s="139">
        <f>T249*AL249</f>
        <v>0</v>
      </c>
      <c r="AN249" s="637">
        <f>IF(U249="RR",IF((0.0326*(W249^5)-0.2806*(W249^4)+0.9816*(W249^3)-1.8039*(W249^2)+1.8292*W249-0.0098)&gt;0.85,0.85,IF((0.0326*(W249^5)-0.2806*(W249^4)+0.9816*(W249^3)-1.8039*(W249^2)+1.8292*W249-0.0098)&lt;0,0,(0.0326*(W249^5)-0.2806*(W249^4)+0.9816*(W249^3)-1.8039*(W249^2)+1.8292*W249-0.0098))),IF((0.0304*(W249^5)-0.2619*(W249^4)+0.9161*(W249^3)-1.6837*(W249^2)+1.7072*W249-0.0091)&gt;0.8,0.8,IF((0.0304*(W249^5)-0.2619*(W249^4)+0.9161*(W249^3)-1.6837*(W249^2)+1.7072*W249-0.0091)&lt;0,0,(0.0304*(W249^5)-0.2619*(W249^4)+0.9161*(W249^3)-1.6837*(W249^2)+1.7072*W249-0.0091))))</f>
        <v>0</v>
      </c>
      <c r="AO249" s="139">
        <f>T249*AN249</f>
        <v>0</v>
      </c>
      <c r="AP249" s="647">
        <f>IF(AK249=AH249,AM249,AO249)</f>
        <v>0</v>
      </c>
      <c r="AQ249" s="789">
        <f>IF(AF249&lt;0,0,AF249)</f>
        <v>0</v>
      </c>
      <c r="AR249" s="789">
        <f>IF(AK249&lt;0,0,AK249)</f>
        <v>0</v>
      </c>
      <c r="AS249" s="790">
        <f>IF(AP249&lt;0,0,AP249)</f>
        <v>0</v>
      </c>
    </row>
    <row r="250" spans="1:45" ht="30" x14ac:dyDescent="0.25">
      <c r="A250" s="261" t="s">
        <v>718</v>
      </c>
      <c r="B250" s="510">
        <v>38.092236999999997</v>
      </c>
      <c r="C250" s="510">
        <v>-78.473459000000005</v>
      </c>
      <c r="D250" s="510" t="s">
        <v>296</v>
      </c>
      <c r="E250" s="511">
        <v>267.01</v>
      </c>
      <c r="F250" s="669">
        <v>39029</v>
      </c>
      <c r="G250" s="510" t="s">
        <v>281</v>
      </c>
      <c r="H250" s="511"/>
      <c r="I250" s="511"/>
      <c r="J250" s="511" t="s">
        <v>343</v>
      </c>
      <c r="K250" s="511" t="s">
        <v>315</v>
      </c>
      <c r="L250" s="261"/>
      <c r="M250" s="514">
        <f>N250+O250+P250</f>
        <v>2.732711438201652</v>
      </c>
      <c r="N250" s="672">
        <v>0.96175854075638001</v>
      </c>
      <c r="O250" s="514">
        <v>1.6787745460379999</v>
      </c>
      <c r="P250" s="514">
        <v>9.2178351407271986E-2</v>
      </c>
      <c r="Q250" s="673">
        <f>+N250/M250</f>
        <v>0.35194295574409273</v>
      </c>
      <c r="R250" s="674">
        <f>IF(L249="TT",(1.76*N250+0.5*O250+0.13*P250)-AF249,1.76*N250+0.5*O250+0.13*P250)</f>
        <v>2.5440654904331739</v>
      </c>
      <c r="S250" s="674">
        <f>IF(L249="TT",(M250*9.39+N250*6.99+O250*2.36)-AK249,M250*9.39+N250*6.99+O250*2.36)</f>
        <v>36.344760533250287</v>
      </c>
      <c r="T250" s="674">
        <f>IF(L249="TT",(M250*676.94+N250*101.08+O250*77.38)-AP249,M250*676.94+N250*101.08+O250*77.38)</f>
        <v>2076.9998086483015</v>
      </c>
      <c r="U250" s="1022" t="s">
        <v>285</v>
      </c>
      <c r="V250" s="514">
        <v>1619.9981424</v>
      </c>
      <c r="W250" s="675">
        <f>IF(V250="NA", 0, (V250)*12/N250/43560)</f>
        <v>0.46402549193794573</v>
      </c>
      <c r="X250" s="634" t="str">
        <f t="shared" si="91"/>
        <v>NA</v>
      </c>
      <c r="Y250" s="676">
        <f>IF(X250="NA",0,R250*X250)</f>
        <v>0</v>
      </c>
      <c r="Z250" s="635">
        <f>IF(ISNA(VLOOKUP(J250,'Efficiency Lookup'!$B$2:$C$38,2,FALSE)),0,(VLOOKUP(J250,'Efficiency Lookup'!$B$2:$C$38,2,FALSE)))</f>
        <v>0.5</v>
      </c>
      <c r="AA250" s="139">
        <f>R250*Z250</f>
        <v>1.2720327452165869</v>
      </c>
      <c r="AB250" s="640">
        <f>IF(ISNA(VLOOKUP(K250,'Efficiency Lookup'!$D$2:$E$35,2,FALSE)),0,VLOOKUP(K250,'Efficiency Lookup'!$D$2:$E$35,2,FALSE))</f>
        <v>0.75</v>
      </c>
      <c r="AC250" s="1022">
        <f>R250*AB250</f>
        <v>1.9080491178248804</v>
      </c>
      <c r="AD250" s="637">
        <f>IF(U250="RR",IF((0.0304*(W250^5)-0.2619*(W250^4)+0.9161*(W250^3)-1.6837*(W250^2)+1.7072*W250-0.0091)&gt;0.85,0.85,IF((0.0304*(W250^5)-0.2619*(W250^4)+0.9161*(W250^3)-1.6837*(W250^2)+1.7072*W250-0.0091)&lt;0,0,(0.0304*(W250^5)-0.2619*(W250^4)+0.9161*(W250^3)-1.6837*(W250^2)+1.7072*W250-0.0091))),IF((0.0239*(W250^5)-0.2058*(W250^4)+0.7198*(W250^3)-1.3229*(W250^2)+1.3414*W250-0.0072)&gt;0.65,0.65,IF((0.0239*(W250^5)-0.2058*(W250^4)+0.7198*(W250^3)-1.3229*(W250^2)+1.3414*W250-0.0072)&lt;0,0,(0.0239*(W250^5)-0.2058*(W250^4)+0.7198*(W250^3)-1.3229*(W250^2)+1.3414*W250-0.0072))))</f>
        <v>0.50059330874689978</v>
      </c>
      <c r="AE250" s="139">
        <f>R250*AD250</f>
        <v>1.2735421615247469</v>
      </c>
      <c r="AF250" s="516">
        <f>MAX(Y250,AA250,AC250,AE250)</f>
        <v>1.9080491178248804</v>
      </c>
      <c r="AG250" s="636">
        <f>IF(ISNA(VLOOKUP(K250,'Efficiency Lookup'!$D$2:$G$35,3,FALSE)),0,VLOOKUP(K250,'Efficiency Lookup'!$D$2:$G$35,3,FALSE))</f>
        <v>0.7</v>
      </c>
      <c r="AH250" s="1022">
        <f>S250*AG250</f>
        <v>25.441332373275198</v>
      </c>
      <c r="AI250" s="637">
        <f>IF(U250="RR",IF((0.0308*(W250^5)-0.2562*(W250^4)+0.8634*(W250^3)-1.5285*(W250^2)+1.501*W250-0.013)&gt;0.7,0.7,IF((0.0308*(W250^5)-0.2562*(W250^4)+0.8634*(W250^3)-1.5285*(W250^2)+1.501*W250-0.013)&lt;0,0,(0.0308*(W250^5)-0.2562*(W250^4)+0.8634*(W250^3)-1.5285*(W250^2)+1.501*W250-0.013))),IF((0.0152*(W250^5)-0.131*(W250^4)+0.4581*(W250^3)-0.8418*(W250^2)+0.8536*W250-0.0046)&gt;0.65,0.65,IF((0.0152*(W250^5)-0.131*(W250^4)+0.4581*(W250^3)-0.8418*(W250^2)+0.8536*W250-0.0046)&lt;0,0,(0.0152*(W250^5)-0.131*(W250^4)+0.4581*(W250^3)-0.8418*(W250^2)+0.8536*W250-0.0046))))</f>
        <v>0.4294362772482278</v>
      </c>
      <c r="AJ250" s="139">
        <f>S250*AI250</f>
        <v>15.607758660877318</v>
      </c>
      <c r="AK250" s="416">
        <f t="shared" si="70"/>
        <v>25.441332373275198</v>
      </c>
      <c r="AL250" s="641">
        <f>IF(ISNA(VLOOKUP(K250,'Efficiency Lookup'!$D$2:$G$35,4,FALSE)),0,VLOOKUP(K250,'Efficiency Lookup'!$D$2:$G$35,4,FALSE))</f>
        <v>0.8</v>
      </c>
      <c r="AM250" s="1022">
        <f>T250*AL250</f>
        <v>1661.5998469186413</v>
      </c>
      <c r="AN250" s="637">
        <f>IF(U250="RR",IF((0.0326*(W250^5)-0.2806*(W250^4)+0.9816*(W250^3)-1.8039*(W250^2)+1.8292*W250-0.0098)&gt;0.85,0.85,IF((0.0326*(W250^5)-0.2806*(W250^4)+0.9816*(W250^3)-1.8039*(W250^2)+1.8292*W250-0.0098)&lt;0,0,(0.0326*(W250^5)-0.2806*(W250^4)+0.9816*(W250^3)-1.8039*(W250^2)+1.8292*W250-0.0098))),IF((0.0304*(W250^5)-0.2619*(W250^4)+0.9161*(W250^3)-1.6837*(W250^2)+1.7072*W250-0.0091)&gt;0.8,0.8,IF((0.0304*(W250^5)-0.2619*(W250^4)+0.9161*(W250^3)-1.6837*(W250^2)+1.7072*W250-0.0091)&lt;0,0,(0.0304*(W250^5)-0.2619*(W250^4)+0.9161*(W250^3)-1.6837*(W250^2)+1.7072*W250-0.0091))))</f>
        <v>0.5363477002382675</v>
      </c>
      <c r="AO250" s="139">
        <f>T250*AN250</f>
        <v>1113.9940707638382</v>
      </c>
      <c r="AP250" s="647">
        <f>IF(AK250=AH250,AM250,AO250)</f>
        <v>1661.5998469186413</v>
      </c>
      <c r="AQ250" s="789">
        <f>IF(AF250&lt;0,0,AF250)</f>
        <v>1.9080491178248804</v>
      </c>
      <c r="AR250" s="789">
        <f>IF(AK250&lt;0,0,AK250)</f>
        <v>25.441332373275198</v>
      </c>
      <c r="AS250" s="790">
        <f>IF(AP250&lt;0,0,AP250)</f>
        <v>1661.5998469186413</v>
      </c>
    </row>
    <row r="251" spans="1:45" x14ac:dyDescent="0.25">
      <c r="A251" s="261"/>
      <c r="B251" s="510" t="s">
        <v>297</v>
      </c>
      <c r="C251" s="510" t="s">
        <v>297</v>
      </c>
      <c r="D251" s="510" t="s">
        <v>297</v>
      </c>
      <c r="E251" s="511"/>
      <c r="F251" s="705"/>
      <c r="G251" s="510"/>
      <c r="H251" s="511"/>
      <c r="I251" s="261"/>
      <c r="J251" s="511"/>
      <c r="K251" s="511"/>
      <c r="L251" s="510"/>
      <c r="M251" s="510"/>
      <c r="N251" s="672"/>
      <c r="O251" s="514"/>
      <c r="P251" s="514" t="s">
        <v>297</v>
      </c>
      <c r="Q251" s="688"/>
      <c r="R251" s="674"/>
      <c r="S251" s="674"/>
      <c r="T251" s="674"/>
      <c r="U251" s="1022"/>
      <c r="V251" s="514"/>
      <c r="W251" s="675"/>
      <c r="X251" s="636" t="str">
        <f t="shared" si="91"/>
        <v/>
      </c>
      <c r="Y251" s="706"/>
      <c r="Z251" s="640"/>
      <c r="AA251" s="1022"/>
      <c r="AB251" s="637"/>
      <c r="AC251" s="637"/>
      <c r="AD251" s="637"/>
      <c r="AE251" s="139"/>
      <c r="AF251" s="642"/>
      <c r="AG251" s="583"/>
      <c r="AH251" s="139"/>
      <c r="AI251" s="637"/>
      <c r="AJ251" s="139"/>
      <c r="AK251" s="416" t="str">
        <f t="shared" si="70"/>
        <v/>
      </c>
      <c r="AL251" s="642"/>
      <c r="AM251" s="637"/>
      <c r="AN251" s="637"/>
      <c r="AO251" s="139"/>
      <c r="AP251" s="647"/>
      <c r="AQ251" s="789"/>
      <c r="AR251" s="789"/>
      <c r="AS251" s="790"/>
    </row>
    <row r="252" spans="1:45" x14ac:dyDescent="0.25">
      <c r="A252" s="628"/>
      <c r="B252" s="668" t="s">
        <v>297</v>
      </c>
      <c r="C252" s="668" t="s">
        <v>297</v>
      </c>
      <c r="D252" s="668" t="s">
        <v>297</v>
      </c>
      <c r="E252" s="710"/>
      <c r="F252" s="711"/>
      <c r="G252" s="668"/>
      <c r="H252" s="712"/>
      <c r="I252" s="712"/>
      <c r="J252" s="712"/>
      <c r="K252" s="712"/>
      <c r="L252" s="712"/>
      <c r="M252" s="712"/>
      <c r="N252" s="712"/>
      <c r="O252" s="712"/>
      <c r="P252" s="712"/>
      <c r="Q252" s="712"/>
      <c r="R252" s="712"/>
      <c r="S252" s="712"/>
      <c r="T252" s="712"/>
      <c r="U252" s="712"/>
      <c r="V252" s="712"/>
      <c r="W252" s="712"/>
      <c r="X252" s="760" t="str">
        <f t="shared" si="91"/>
        <v/>
      </c>
      <c r="Y252" s="713"/>
      <c r="Z252" s="712"/>
      <c r="AA252" s="712"/>
      <c r="AB252" s="638"/>
      <c r="AC252" s="638"/>
      <c r="AD252" s="638"/>
      <c r="AE252" s="629"/>
      <c r="AF252" s="666"/>
      <c r="AG252" s="666"/>
      <c r="AH252" s="629"/>
      <c r="AI252" s="638"/>
      <c r="AJ252" s="629"/>
      <c r="AK252" s="639" t="str">
        <f t="shared" si="70"/>
        <v/>
      </c>
      <c r="AL252" s="644"/>
      <c r="AM252" s="638"/>
      <c r="AN252" s="638"/>
      <c r="AO252" s="629"/>
      <c r="AP252" s="648"/>
      <c r="AQ252" s="791"/>
      <c r="AR252" s="791"/>
      <c r="AS252" s="792"/>
    </row>
    <row r="253" spans="1:45" ht="14.45" customHeight="1" x14ac:dyDescent="0.25">
      <c r="A253" s="261"/>
      <c r="B253" s="510" t="s">
        <v>297</v>
      </c>
      <c r="C253" s="510" t="s">
        <v>297</v>
      </c>
      <c r="D253" s="510" t="s">
        <v>297</v>
      </c>
      <c r="E253" s="704"/>
      <c r="F253" s="705"/>
      <c r="G253" s="510"/>
      <c r="H253" s="511"/>
      <c r="I253" s="261"/>
      <c r="J253" s="511"/>
      <c r="K253" s="511"/>
      <c r="L253" s="510"/>
      <c r="M253" s="510"/>
      <c r="N253" s="672"/>
      <c r="O253" s="514"/>
      <c r="P253" s="514" t="s">
        <v>297</v>
      </c>
      <c r="Q253" s="688"/>
      <c r="R253" s="674"/>
      <c r="S253" s="674"/>
      <c r="T253" s="674"/>
      <c r="U253" s="1022"/>
      <c r="V253" s="514"/>
      <c r="W253" s="675"/>
      <c r="X253" s="636" t="str">
        <f t="shared" si="91"/>
        <v/>
      </c>
      <c r="Y253" s="706"/>
      <c r="Z253" s="640"/>
      <c r="AA253" s="1022"/>
      <c r="AB253" s="637"/>
      <c r="AC253" s="637"/>
      <c r="AD253" s="637"/>
      <c r="AE253" s="139"/>
      <c r="AF253" s="642"/>
      <c r="AG253" s="583"/>
      <c r="AH253" s="139"/>
      <c r="AI253" s="637"/>
      <c r="AJ253" s="139"/>
      <c r="AK253" s="416" t="str">
        <f t="shared" si="70"/>
        <v/>
      </c>
      <c r="AL253" s="642"/>
      <c r="AM253" s="637"/>
      <c r="AN253" s="637"/>
      <c r="AO253" s="139"/>
      <c r="AP253" s="647"/>
      <c r="AQ253" s="789"/>
      <c r="AR253" s="789"/>
      <c r="AS253" s="790"/>
    </row>
    <row r="254" spans="1:45" ht="30" x14ac:dyDescent="0.25">
      <c r="A254" s="261" t="s">
        <v>720</v>
      </c>
      <c r="B254" s="510">
        <v>38.115001999999997</v>
      </c>
      <c r="C254" s="510">
        <v>-78.429828000000001</v>
      </c>
      <c r="D254" s="510" t="s">
        <v>296</v>
      </c>
      <c r="E254" s="511">
        <v>251.01</v>
      </c>
      <c r="F254" s="669">
        <v>38835</v>
      </c>
      <c r="G254" s="510" t="s">
        <v>281</v>
      </c>
      <c r="H254" s="511"/>
      <c r="I254" s="511"/>
      <c r="J254" s="511" t="s">
        <v>343</v>
      </c>
      <c r="K254" s="511" t="s">
        <v>315</v>
      </c>
      <c r="L254" s="261"/>
      <c r="M254" s="514">
        <f>N254+O254+P254</f>
        <v>5.2440310814493003</v>
      </c>
      <c r="N254" s="672">
        <v>2.00289495071</v>
      </c>
      <c r="O254" s="514">
        <v>3.2154205538740004</v>
      </c>
      <c r="P254" s="514">
        <v>2.5715576865299999E-2</v>
      </c>
      <c r="Q254" s="673">
        <f>+N254/M254</f>
        <v>0.38193803957326222</v>
      </c>
      <c r="R254" s="674">
        <f>IF(L253="TT",(1.76*N254+0.5*O254+0.13*P254)-AF253,1.76*N254+0.5*O254+0.13*P254)</f>
        <v>5.1361484151790897</v>
      </c>
      <c r="S254" s="674">
        <f>IF(L253="TT",(M254*9.39+N254*6.99+O254*2.36)-AK253,M254*9.39+N254*6.99+O254*2.36)</f>
        <v>70.830080067414471</v>
      </c>
      <c r="T254" s="674">
        <f>IF(L253="TT",(M254*676.94+N254*101.08+O254*77.38)-AP253,M254*676.94+N254*101.08+O254*77.38)</f>
        <v>4001.1562643528268</v>
      </c>
      <c r="U254" s="1022" t="s">
        <v>285</v>
      </c>
      <c r="V254" s="514" t="s">
        <v>295</v>
      </c>
      <c r="W254" s="675">
        <f>IF(V254="NA", 0, (V254)*12/N254/43560)</f>
        <v>0</v>
      </c>
      <c r="X254" s="634" t="str">
        <f t="shared" si="91"/>
        <v>NA</v>
      </c>
      <c r="Y254" s="676">
        <f>IF(X254="NA",0,R254*X254)</f>
        <v>0</v>
      </c>
      <c r="Z254" s="635">
        <f>IF(ISNA(VLOOKUP(J254,'Efficiency Lookup'!$B$2:$C$38,2,FALSE)),0,(VLOOKUP(J254,'Efficiency Lookup'!$B$2:$C$38,2,FALSE)))</f>
        <v>0.5</v>
      </c>
      <c r="AA254" s="139">
        <f>R254*Z254</f>
        <v>2.5680742075895449</v>
      </c>
      <c r="AB254" s="640">
        <f>IF(ISNA(VLOOKUP(K254,'Efficiency Lookup'!$D$2:$E$35,2,FALSE)),0,VLOOKUP(K254,'Efficiency Lookup'!$D$2:$E$35,2,FALSE))</f>
        <v>0.75</v>
      </c>
      <c r="AC254" s="1022">
        <f>R254*AB254</f>
        <v>3.8521113113843173</v>
      </c>
      <c r="AD254" s="637">
        <f>IF(U254="RR",IF((0.0304*(W254^5)-0.2619*(W254^4)+0.9161*(W254^3)-1.6837*(W254^2)+1.7072*W254-0.0091)&gt;0.85,0.85,IF((0.0304*(W254^5)-0.2619*(W254^4)+0.9161*(W254^3)-1.6837*(W254^2)+1.7072*W254-0.0091)&lt;0,0,(0.0304*(W254^5)-0.2619*(W254^4)+0.9161*(W254^3)-1.6837*(W254^2)+1.7072*W254-0.0091))),IF((0.0239*(W254^5)-0.2058*(W254^4)+0.7198*(W254^3)-1.3229*(W254^2)+1.3414*W254-0.0072)&gt;0.65,0.65,IF((0.0239*(W254^5)-0.2058*(W254^4)+0.7198*(W254^3)-1.3229*(W254^2)+1.3414*W254-0.0072)&lt;0,0,(0.0239*(W254^5)-0.2058*(W254^4)+0.7198*(W254^3)-1.3229*(W254^2)+1.3414*W254-0.0072))))</f>
        <v>0</v>
      </c>
      <c r="AE254" s="139">
        <f>R254*AD254</f>
        <v>0</v>
      </c>
      <c r="AF254" s="516">
        <f>MAX(Y254,AA254,AC254,AE254)</f>
        <v>3.8521113113843173</v>
      </c>
      <c r="AG254" s="636">
        <f>IF(ISNA(VLOOKUP(K254,'Efficiency Lookup'!$D$2:$G$35,3,FALSE)),0,VLOOKUP(K254,'Efficiency Lookup'!$D$2:$G$35,3,FALSE))</f>
        <v>0.7</v>
      </c>
      <c r="AH254" s="1022">
        <f>S254*AG254</f>
        <v>49.581056047190124</v>
      </c>
      <c r="AI254" s="637">
        <f>IF(U254="RR",IF((0.0308*(W254^5)-0.2562*(W254^4)+0.8634*(W254^3)-1.5285*(W254^2)+1.501*W254-0.013)&gt;0.7,0.7,IF((0.0308*(W254^5)-0.2562*(W254^4)+0.8634*(W254^3)-1.5285*(W254^2)+1.501*W254-0.013)&lt;0,0,(0.0308*(W254^5)-0.2562*(W254^4)+0.8634*(W254^3)-1.5285*(W254^2)+1.501*W254-0.013))),IF((0.0152*(W254^5)-0.131*(W254^4)+0.4581*(W254^3)-0.8418*(W254^2)+0.8536*W254-0.0046)&gt;0.65,0.65,IF((0.0152*(W254^5)-0.131*(W254^4)+0.4581*(W254^3)-0.8418*(W254^2)+0.8536*W254-0.0046)&lt;0,0,(0.0152*(W254^5)-0.131*(W254^4)+0.4581*(W254^3)-0.8418*(W254^2)+0.8536*W254-0.0046))))</f>
        <v>0</v>
      </c>
      <c r="AJ254" s="139">
        <f>S254*AI254</f>
        <v>0</v>
      </c>
      <c r="AK254" s="416">
        <f t="shared" si="70"/>
        <v>49.581056047190124</v>
      </c>
      <c r="AL254" s="641">
        <f>IF(ISNA(VLOOKUP(K254,'Efficiency Lookup'!$D$2:$G$35,4,FALSE)),0,VLOOKUP(K254,'Efficiency Lookup'!$D$2:$G$35,4,FALSE))</f>
        <v>0.8</v>
      </c>
      <c r="AM254" s="1022">
        <f>T254*AL254</f>
        <v>3200.9250114822617</v>
      </c>
      <c r="AN254" s="637">
        <f>IF(U254="RR",IF((0.0326*(W254^5)-0.2806*(W254^4)+0.9816*(W254^3)-1.8039*(W254^2)+1.8292*W254-0.0098)&gt;0.85,0.85,IF((0.0326*(W254^5)-0.2806*(W254^4)+0.9816*(W254^3)-1.8039*(W254^2)+1.8292*W254-0.0098)&lt;0,0,(0.0326*(W254^5)-0.2806*(W254^4)+0.9816*(W254^3)-1.8039*(W254^2)+1.8292*W254-0.0098))),IF((0.0304*(W254^5)-0.2619*(W254^4)+0.9161*(W254^3)-1.6837*(W254^2)+1.7072*W254-0.0091)&gt;0.8,0.8,IF((0.0304*(W254^5)-0.2619*(W254^4)+0.9161*(W254^3)-1.6837*(W254^2)+1.7072*W254-0.0091)&lt;0,0,(0.0304*(W254^5)-0.2619*(W254^4)+0.9161*(W254^3)-1.6837*(W254^2)+1.7072*W254-0.0091))))</f>
        <v>0</v>
      </c>
      <c r="AO254" s="139">
        <f>T254*AN254</f>
        <v>0</v>
      </c>
      <c r="AP254" s="647">
        <f>IF(AK254=AH254,AM254,AO254)</f>
        <v>3200.9250114822617</v>
      </c>
      <c r="AQ254" s="789">
        <f>IF(AF254&lt;0,0,AF254)</f>
        <v>3.8521113113843173</v>
      </c>
      <c r="AR254" s="789">
        <f>IF(AK254&lt;0,0,AK254)</f>
        <v>49.581056047190124</v>
      </c>
      <c r="AS254" s="790">
        <f>IF(AP254&lt;0,0,AP254)</f>
        <v>3200.9250114822617</v>
      </c>
    </row>
    <row r="255" spans="1:45" ht="30" x14ac:dyDescent="0.25">
      <c r="A255" s="261" t="s">
        <v>720</v>
      </c>
      <c r="B255" s="510">
        <v>38.119098999999999</v>
      </c>
      <c r="C255" s="510">
        <v>-78.426351999999994</v>
      </c>
      <c r="D255" s="510" t="s">
        <v>296</v>
      </c>
      <c r="E255" s="511">
        <v>251.02</v>
      </c>
      <c r="F255" s="669">
        <v>38835</v>
      </c>
      <c r="G255" s="510" t="s">
        <v>281</v>
      </c>
      <c r="H255" s="511"/>
      <c r="I255" s="511"/>
      <c r="J255" s="511" t="s">
        <v>343</v>
      </c>
      <c r="K255" s="511" t="s">
        <v>315</v>
      </c>
      <c r="L255" s="261"/>
      <c r="M255" s="514">
        <f>N255+O255+P255</f>
        <v>2.0204479933376502</v>
      </c>
      <c r="N255" s="672">
        <v>0.70971740949700002</v>
      </c>
      <c r="O255" s="514">
        <v>1.304441457235</v>
      </c>
      <c r="P255" s="514">
        <v>6.2891266056499997E-3</v>
      </c>
      <c r="Q255" s="673">
        <f>+N255/M255</f>
        <v>0.35126734854708758</v>
      </c>
      <c r="R255" s="674">
        <f>IF(L254="TT",(1.76*N255+0.5*O255+0.13*P255)-AF254,1.76*N255+0.5*O255+0.13*P255)</f>
        <v>1.9021409557909545</v>
      </c>
      <c r="S255" s="674">
        <f>IF(L254="TT",(M255*9.39+N255*6.99+O255*2.36)-AK254,M255*9.39+N255*6.99+O255*2.36)</f>
        <v>27.011413188899169</v>
      </c>
      <c r="T255" s="674">
        <f>IF(L254="TT",(M255*676.94+N255*101.08+O255*77.38)-AP254,M255*676.94+N255*101.08+O255*77.38)</f>
        <v>1540.3979803227901</v>
      </c>
      <c r="U255" s="1022" t="s">
        <v>285</v>
      </c>
      <c r="V255" s="514" t="s">
        <v>295</v>
      </c>
      <c r="W255" s="675">
        <f>IF(V255="NA", 0, (V255)*12/N255/43560)</f>
        <v>0</v>
      </c>
      <c r="X255" s="634" t="str">
        <f t="shared" si="91"/>
        <v>NA</v>
      </c>
      <c r="Y255" s="676">
        <f>IF(X255="NA",0,R255*X255)</f>
        <v>0</v>
      </c>
      <c r="Z255" s="635">
        <f>IF(ISNA(VLOOKUP(J255,'Efficiency Lookup'!$B$2:$C$38,2,FALSE)),0,(VLOOKUP(J255,'Efficiency Lookup'!$B$2:$C$38,2,FALSE)))</f>
        <v>0.5</v>
      </c>
      <c r="AA255" s="139">
        <f>R255*Z255</f>
        <v>0.95107047789547727</v>
      </c>
      <c r="AB255" s="640">
        <f>IF(ISNA(VLOOKUP(K255,'Efficiency Lookup'!$D$2:$E$35,2,FALSE)),0,VLOOKUP(K255,'Efficiency Lookup'!$D$2:$E$35,2,FALSE))</f>
        <v>0.75</v>
      </c>
      <c r="AC255" s="1022">
        <f>R255*AB255</f>
        <v>1.4266057168432158</v>
      </c>
      <c r="AD255" s="637">
        <f>IF(U255="RR",IF((0.0304*(W255^5)-0.2619*(W255^4)+0.9161*(W255^3)-1.6837*(W255^2)+1.7072*W255-0.0091)&gt;0.85,0.85,IF((0.0304*(W255^5)-0.2619*(W255^4)+0.9161*(W255^3)-1.6837*(W255^2)+1.7072*W255-0.0091)&lt;0,0,(0.0304*(W255^5)-0.2619*(W255^4)+0.9161*(W255^3)-1.6837*(W255^2)+1.7072*W255-0.0091))),IF((0.0239*(W255^5)-0.2058*(W255^4)+0.7198*(W255^3)-1.3229*(W255^2)+1.3414*W255-0.0072)&gt;0.65,0.65,IF((0.0239*(W255^5)-0.2058*(W255^4)+0.7198*(W255^3)-1.3229*(W255^2)+1.3414*W255-0.0072)&lt;0,0,(0.0239*(W255^5)-0.2058*(W255^4)+0.7198*(W255^3)-1.3229*(W255^2)+1.3414*W255-0.0072))))</f>
        <v>0</v>
      </c>
      <c r="AE255" s="139">
        <f>R255*AD255</f>
        <v>0</v>
      </c>
      <c r="AF255" s="516">
        <f>MAX(Y255,AA255,AC255,AE255)</f>
        <v>1.4266057168432158</v>
      </c>
      <c r="AG255" s="636">
        <f>IF(ISNA(VLOOKUP(K255,'Efficiency Lookup'!$D$2:$G$35,3,FALSE)),0,VLOOKUP(K255,'Efficiency Lookup'!$D$2:$G$35,3,FALSE))</f>
        <v>0.7</v>
      </c>
      <c r="AH255" s="1022">
        <f>S255*AG255</f>
        <v>18.907989232229419</v>
      </c>
      <c r="AI255" s="637">
        <f>IF(U255="RR",IF((0.0308*(W255^5)-0.2562*(W255^4)+0.8634*(W255^3)-1.5285*(W255^2)+1.501*W255-0.013)&gt;0.7,0.7,IF((0.0308*(W255^5)-0.2562*(W255^4)+0.8634*(W255^3)-1.5285*(W255^2)+1.501*W255-0.013)&lt;0,0,(0.0308*(W255^5)-0.2562*(W255^4)+0.8634*(W255^3)-1.5285*(W255^2)+1.501*W255-0.013))),IF((0.0152*(W255^5)-0.131*(W255^4)+0.4581*(W255^3)-0.8418*(W255^2)+0.8536*W255-0.0046)&gt;0.65,0.65,IF((0.0152*(W255^5)-0.131*(W255^4)+0.4581*(W255^3)-0.8418*(W255^2)+0.8536*W255-0.0046)&lt;0,0,(0.0152*(W255^5)-0.131*(W255^4)+0.4581*(W255^3)-0.8418*(W255^2)+0.8536*W255-0.0046))))</f>
        <v>0</v>
      </c>
      <c r="AJ255" s="139">
        <f>S255*AI255</f>
        <v>0</v>
      </c>
      <c r="AK255" s="416">
        <f t="shared" si="70"/>
        <v>18.907989232229419</v>
      </c>
      <c r="AL255" s="641">
        <f>IF(ISNA(VLOOKUP(K255,'Efficiency Lookup'!$D$2:$G$35,4,FALSE)),0,VLOOKUP(K255,'Efficiency Lookup'!$D$2:$G$35,4,FALSE))</f>
        <v>0.8</v>
      </c>
      <c r="AM255" s="1022">
        <f>T255*AL255</f>
        <v>1232.3183842582321</v>
      </c>
      <c r="AN255" s="637">
        <f>IF(U255="RR",IF((0.0326*(W255^5)-0.2806*(W255^4)+0.9816*(W255^3)-1.8039*(W255^2)+1.8292*W255-0.0098)&gt;0.85,0.85,IF((0.0326*(W255^5)-0.2806*(W255^4)+0.9816*(W255^3)-1.8039*(W255^2)+1.8292*W255-0.0098)&lt;0,0,(0.0326*(W255^5)-0.2806*(W255^4)+0.9816*(W255^3)-1.8039*(W255^2)+1.8292*W255-0.0098))),IF((0.0304*(W255^5)-0.2619*(W255^4)+0.9161*(W255^3)-1.6837*(W255^2)+1.7072*W255-0.0091)&gt;0.8,0.8,IF((0.0304*(W255^5)-0.2619*(W255^4)+0.9161*(W255^3)-1.6837*(W255^2)+1.7072*W255-0.0091)&lt;0,0,(0.0304*(W255^5)-0.2619*(W255^4)+0.9161*(W255^3)-1.6837*(W255^2)+1.7072*W255-0.0091))))</f>
        <v>0</v>
      </c>
      <c r="AO255" s="139">
        <f>T255*AN255</f>
        <v>0</v>
      </c>
      <c r="AP255" s="647">
        <f>IF(AK255=AH255,AM255,AO255)</f>
        <v>1232.3183842582321</v>
      </c>
      <c r="AQ255" s="789">
        <f>IF(AF255&lt;0,0,AF255)</f>
        <v>1.4266057168432158</v>
      </c>
      <c r="AR255" s="789">
        <f>IF(AK255&lt;0,0,AK255)</f>
        <v>18.907989232229419</v>
      </c>
      <c r="AS255" s="790">
        <f>IF(AP255&lt;0,0,AP255)</f>
        <v>1232.3183842582321</v>
      </c>
    </row>
    <row r="256" spans="1:45" ht="30" x14ac:dyDescent="0.25">
      <c r="A256" s="261" t="s">
        <v>720</v>
      </c>
      <c r="B256" s="510">
        <v>38.120089999999998</v>
      </c>
      <c r="C256" s="510">
        <v>-78.427727000000004</v>
      </c>
      <c r="D256" s="510" t="s">
        <v>296</v>
      </c>
      <c r="E256" s="511">
        <v>251.03</v>
      </c>
      <c r="F256" s="669">
        <v>38835</v>
      </c>
      <c r="G256" s="510" t="s">
        <v>281</v>
      </c>
      <c r="H256" s="511"/>
      <c r="I256" s="511"/>
      <c r="J256" s="511" t="s">
        <v>343</v>
      </c>
      <c r="K256" s="511" t="s">
        <v>315</v>
      </c>
      <c r="L256" s="261"/>
      <c r="M256" s="514">
        <f>N256+O256+P256</f>
        <v>3.02006302225</v>
      </c>
      <c r="N256" s="672">
        <v>0.86306080283700004</v>
      </c>
      <c r="O256" s="514">
        <v>1.895012156752</v>
      </c>
      <c r="P256" s="514">
        <v>0.261990062661</v>
      </c>
      <c r="Q256" s="673">
        <f>+N256/M256</f>
        <v>0.28577575914094816</v>
      </c>
      <c r="R256" s="674">
        <f>IF(L255="TT",(1.76*N256+0.5*O256+0.13*P256)-AF255,1.76*N256+0.5*O256+0.13*P256)</f>
        <v>2.5005517995150499</v>
      </c>
      <c r="S256" s="674">
        <f>IF(L255="TT",(M256*9.39+N256*6.99+O256*2.36)-AK255,M256*9.39+N256*6.99+O256*2.36)</f>
        <v>38.863415480692851</v>
      </c>
      <c r="T256" s="674">
        <f>IF(L255="TT",(M256*676.94+N256*101.08+O256*77.38)-AP255,M256*676.94+N256*101.08+O256*77.38)</f>
        <v>2278.2756889221487</v>
      </c>
      <c r="U256" s="1022" t="s">
        <v>285</v>
      </c>
      <c r="V256" s="514" t="s">
        <v>295</v>
      </c>
      <c r="W256" s="675">
        <f>IF(V256="NA", 0, (V256)*12/N256/43560)</f>
        <v>0</v>
      </c>
      <c r="X256" s="634" t="str">
        <f t="shared" si="91"/>
        <v>NA</v>
      </c>
      <c r="Y256" s="676">
        <f>IF(X256="NA",0,R256*X256)</f>
        <v>0</v>
      </c>
      <c r="Z256" s="635">
        <f>IF(ISNA(VLOOKUP(J256,'Efficiency Lookup'!$B$2:$C$38,2,FALSE)),0,(VLOOKUP(J256,'Efficiency Lookup'!$B$2:$C$38,2,FALSE)))</f>
        <v>0.5</v>
      </c>
      <c r="AA256" s="139">
        <f>R256*Z256</f>
        <v>1.250275899757525</v>
      </c>
      <c r="AB256" s="640">
        <f>IF(ISNA(VLOOKUP(K256,'Efficiency Lookup'!$D$2:$E$35,2,FALSE)),0,VLOOKUP(K256,'Efficiency Lookup'!$D$2:$E$35,2,FALSE))</f>
        <v>0.75</v>
      </c>
      <c r="AC256" s="1022">
        <f>R256*AB256</f>
        <v>1.8754138496362875</v>
      </c>
      <c r="AD256" s="637">
        <f>IF(U256="RR",IF((0.0304*(W256^5)-0.2619*(W256^4)+0.9161*(W256^3)-1.6837*(W256^2)+1.7072*W256-0.0091)&gt;0.85,0.85,IF((0.0304*(W256^5)-0.2619*(W256^4)+0.9161*(W256^3)-1.6837*(W256^2)+1.7072*W256-0.0091)&lt;0,0,(0.0304*(W256^5)-0.2619*(W256^4)+0.9161*(W256^3)-1.6837*(W256^2)+1.7072*W256-0.0091))),IF((0.0239*(W256^5)-0.2058*(W256^4)+0.7198*(W256^3)-1.3229*(W256^2)+1.3414*W256-0.0072)&gt;0.65,0.65,IF((0.0239*(W256^5)-0.2058*(W256^4)+0.7198*(W256^3)-1.3229*(W256^2)+1.3414*W256-0.0072)&lt;0,0,(0.0239*(W256^5)-0.2058*(W256^4)+0.7198*(W256^3)-1.3229*(W256^2)+1.3414*W256-0.0072))))</f>
        <v>0</v>
      </c>
      <c r="AE256" s="139">
        <f>R256*AD256</f>
        <v>0</v>
      </c>
      <c r="AF256" s="516">
        <f>MAX(Y256,AA256,AC256,AE256)</f>
        <v>1.8754138496362875</v>
      </c>
      <c r="AG256" s="636">
        <f>IF(ISNA(VLOOKUP(K256,'Efficiency Lookup'!$D$2:$G$35,3,FALSE)),0,VLOOKUP(K256,'Efficiency Lookup'!$D$2:$G$35,3,FALSE))</f>
        <v>0.7</v>
      </c>
      <c r="AH256" s="1022">
        <f>S256*AG256</f>
        <v>27.204390836484993</v>
      </c>
      <c r="AI256" s="637">
        <f>IF(U256="RR",IF((0.0308*(W256^5)-0.2562*(W256^4)+0.8634*(W256^3)-1.5285*(W256^2)+1.501*W256-0.013)&gt;0.7,0.7,IF((0.0308*(W256^5)-0.2562*(W256^4)+0.8634*(W256^3)-1.5285*(W256^2)+1.501*W256-0.013)&lt;0,0,(0.0308*(W256^5)-0.2562*(W256^4)+0.8634*(W256^3)-1.5285*(W256^2)+1.501*W256-0.013))),IF((0.0152*(W256^5)-0.131*(W256^4)+0.4581*(W256^3)-0.8418*(W256^2)+0.8536*W256-0.0046)&gt;0.65,0.65,IF((0.0152*(W256^5)-0.131*(W256^4)+0.4581*(W256^3)-0.8418*(W256^2)+0.8536*W256-0.0046)&lt;0,0,(0.0152*(W256^5)-0.131*(W256^4)+0.4581*(W256^3)-0.8418*(W256^2)+0.8536*W256-0.0046))))</f>
        <v>0</v>
      </c>
      <c r="AJ256" s="139">
        <f>S256*AI256</f>
        <v>0</v>
      </c>
      <c r="AK256" s="416">
        <f t="shared" si="70"/>
        <v>27.204390836484993</v>
      </c>
      <c r="AL256" s="641">
        <f>IF(ISNA(VLOOKUP(K256,'Efficiency Lookup'!$D$2:$G$35,4,FALSE)),0,VLOOKUP(K256,'Efficiency Lookup'!$D$2:$G$35,4,FALSE))</f>
        <v>0.8</v>
      </c>
      <c r="AM256" s="1022">
        <f>T256*AL256</f>
        <v>1822.6205511377191</v>
      </c>
      <c r="AN256" s="637">
        <f>IF(U256="RR",IF((0.0326*(W256^5)-0.2806*(W256^4)+0.9816*(W256^3)-1.8039*(W256^2)+1.8292*W256-0.0098)&gt;0.85,0.85,IF((0.0326*(W256^5)-0.2806*(W256^4)+0.9816*(W256^3)-1.8039*(W256^2)+1.8292*W256-0.0098)&lt;0,0,(0.0326*(W256^5)-0.2806*(W256^4)+0.9816*(W256^3)-1.8039*(W256^2)+1.8292*W256-0.0098))),IF((0.0304*(W256^5)-0.2619*(W256^4)+0.9161*(W256^3)-1.6837*(W256^2)+1.7072*W256-0.0091)&gt;0.8,0.8,IF((0.0304*(W256^5)-0.2619*(W256^4)+0.9161*(W256^3)-1.6837*(W256^2)+1.7072*W256-0.0091)&lt;0,0,(0.0304*(W256^5)-0.2619*(W256^4)+0.9161*(W256^3)-1.6837*(W256^2)+1.7072*W256-0.0091))))</f>
        <v>0</v>
      </c>
      <c r="AO256" s="139">
        <f>T256*AN256</f>
        <v>0</v>
      </c>
      <c r="AP256" s="647">
        <f>IF(AK256=AH256,AM256,AO256)</f>
        <v>1822.6205511377191</v>
      </c>
      <c r="AQ256" s="789">
        <f>IF(AF256&lt;0,0,AF256)</f>
        <v>1.8754138496362875</v>
      </c>
      <c r="AR256" s="789">
        <f>IF(AK256&lt;0,0,AK256)</f>
        <v>27.204390836484993</v>
      </c>
      <c r="AS256" s="790">
        <f>IF(AP256&lt;0,0,AP256)</f>
        <v>1822.6205511377191</v>
      </c>
    </row>
    <row r="257" spans="1:45" x14ac:dyDescent="0.25">
      <c r="A257" s="261"/>
      <c r="B257" s="510" t="s">
        <v>297</v>
      </c>
      <c r="C257" s="510" t="s">
        <v>297</v>
      </c>
      <c r="D257" s="510" t="s">
        <v>297</v>
      </c>
      <c r="E257" s="511"/>
      <c r="F257" s="705"/>
      <c r="G257" s="510"/>
      <c r="H257" s="511"/>
      <c r="I257" s="261" t="str">
        <f t="shared" ref="I257:I265" si="95">IF(G257="","",IF(G257="Proprietary","Filterra","Clearinghouse Not Used"))</f>
        <v/>
      </c>
      <c r="J257" s="511"/>
      <c r="K257" s="511"/>
      <c r="L257" s="510"/>
      <c r="M257" s="510"/>
      <c r="N257" s="672"/>
      <c r="O257" s="514"/>
      <c r="P257" s="514" t="s">
        <v>297</v>
      </c>
      <c r="Q257" s="688"/>
      <c r="R257" s="674"/>
      <c r="S257" s="674"/>
      <c r="T257" s="674"/>
      <c r="U257" s="1022"/>
      <c r="V257" s="514"/>
      <c r="W257" s="675"/>
      <c r="X257" s="636" t="str">
        <f t="shared" si="91"/>
        <v/>
      </c>
      <c r="Y257" s="706"/>
      <c r="Z257" s="640"/>
      <c r="AA257" s="1022"/>
      <c r="AB257" s="637"/>
      <c r="AC257" s="637"/>
      <c r="AD257" s="637"/>
      <c r="AE257" s="139"/>
      <c r="AF257" s="642"/>
      <c r="AG257" s="583"/>
      <c r="AH257" s="139"/>
      <c r="AI257" s="637"/>
      <c r="AJ257" s="139"/>
      <c r="AK257" s="416" t="str">
        <f t="shared" si="70"/>
        <v/>
      </c>
      <c r="AL257" s="642"/>
      <c r="AM257" s="637"/>
      <c r="AN257" s="637"/>
      <c r="AO257" s="139"/>
      <c r="AP257" s="647"/>
      <c r="AQ257" s="789"/>
      <c r="AR257" s="789"/>
      <c r="AS257" s="790"/>
    </row>
    <row r="258" spans="1:45" x14ac:dyDescent="0.25">
      <c r="A258" s="628"/>
      <c r="B258" s="668" t="s">
        <v>297</v>
      </c>
      <c r="C258" s="668" t="s">
        <v>297</v>
      </c>
      <c r="D258" s="668" t="s">
        <v>297</v>
      </c>
      <c r="E258" s="710"/>
      <c r="F258" s="711"/>
      <c r="G258" s="668"/>
      <c r="H258" s="712"/>
      <c r="I258" s="712" t="str">
        <f t="shared" si="95"/>
        <v/>
      </c>
      <c r="J258" s="712"/>
      <c r="K258" s="712"/>
      <c r="L258" s="712"/>
      <c r="M258" s="712"/>
      <c r="N258" s="712"/>
      <c r="O258" s="712"/>
      <c r="P258" s="712"/>
      <c r="Q258" s="712"/>
      <c r="R258" s="712"/>
      <c r="S258" s="712"/>
      <c r="T258" s="712"/>
      <c r="U258" s="712"/>
      <c r="V258" s="712"/>
      <c r="W258" s="712"/>
      <c r="X258" s="760" t="str">
        <f t="shared" si="91"/>
        <v/>
      </c>
      <c r="Y258" s="713"/>
      <c r="Z258" s="712"/>
      <c r="AA258" s="712"/>
      <c r="AB258" s="638"/>
      <c r="AC258" s="638"/>
      <c r="AD258" s="638"/>
      <c r="AE258" s="629"/>
      <c r="AF258" s="666"/>
      <c r="AG258" s="666"/>
      <c r="AH258" s="629"/>
      <c r="AI258" s="638"/>
      <c r="AJ258" s="629"/>
      <c r="AK258" s="639" t="str">
        <f t="shared" si="70"/>
        <v/>
      </c>
      <c r="AL258" s="644"/>
      <c r="AM258" s="638"/>
      <c r="AN258" s="638"/>
      <c r="AO258" s="629"/>
      <c r="AP258" s="648"/>
      <c r="AQ258" s="791"/>
      <c r="AR258" s="791"/>
      <c r="AS258" s="792"/>
    </row>
    <row r="259" spans="1:45" ht="14.45" customHeight="1" x14ac:dyDescent="0.25">
      <c r="A259" s="261"/>
      <c r="B259" s="510" t="s">
        <v>297</v>
      </c>
      <c r="C259" s="510" t="s">
        <v>297</v>
      </c>
      <c r="D259" s="510" t="s">
        <v>297</v>
      </c>
      <c r="E259" s="704"/>
      <c r="F259" s="705"/>
      <c r="G259" s="510"/>
      <c r="H259" s="511"/>
      <c r="I259" s="261" t="str">
        <f t="shared" si="95"/>
        <v/>
      </c>
      <c r="J259" s="511"/>
      <c r="K259" s="511"/>
      <c r="L259" s="510"/>
      <c r="M259" s="510"/>
      <c r="N259" s="672"/>
      <c r="O259" s="514"/>
      <c r="P259" s="514" t="s">
        <v>297</v>
      </c>
      <c r="Q259" s="688"/>
      <c r="R259" s="674"/>
      <c r="S259" s="674"/>
      <c r="T259" s="674"/>
      <c r="U259" s="1022"/>
      <c r="V259" s="514"/>
      <c r="W259" s="675"/>
      <c r="X259" s="636" t="str">
        <f t="shared" si="91"/>
        <v/>
      </c>
      <c r="Y259" s="706"/>
      <c r="Z259" s="640"/>
      <c r="AA259" s="1022"/>
      <c r="AB259" s="637"/>
      <c r="AC259" s="637"/>
      <c r="AD259" s="637"/>
      <c r="AE259" s="139"/>
      <c r="AF259" s="642"/>
      <c r="AG259" s="583"/>
      <c r="AH259" s="139"/>
      <c r="AI259" s="637"/>
      <c r="AJ259" s="139"/>
      <c r="AK259" s="416" t="str">
        <f t="shared" si="70"/>
        <v/>
      </c>
      <c r="AL259" s="642"/>
      <c r="AM259" s="637"/>
      <c r="AN259" s="637"/>
      <c r="AO259" s="139"/>
      <c r="AP259" s="647"/>
      <c r="AQ259" s="789"/>
      <c r="AR259" s="789"/>
      <c r="AS259" s="790"/>
    </row>
    <row r="260" spans="1:45" x14ac:dyDescent="0.25">
      <c r="A260" s="261" t="s">
        <v>721</v>
      </c>
      <c r="B260" s="510">
        <v>38.022891999999999</v>
      </c>
      <c r="C260" s="510">
        <v>-78.448156999999995</v>
      </c>
      <c r="D260" s="510" t="s">
        <v>296</v>
      </c>
      <c r="E260" s="511">
        <v>261.01</v>
      </c>
      <c r="F260" s="669">
        <v>38952</v>
      </c>
      <c r="G260" s="510" t="s">
        <v>289</v>
      </c>
      <c r="H260" s="511" t="s">
        <v>417</v>
      </c>
      <c r="I260" s="511" t="str">
        <f t="shared" si="95"/>
        <v>Filterra</v>
      </c>
      <c r="J260" s="511"/>
      <c r="K260" s="511"/>
      <c r="L260" s="261"/>
      <c r="M260" s="514">
        <f>N260+O260+P260</f>
        <v>0.23988241134060001</v>
      </c>
      <c r="N260" s="672">
        <v>0.169446101096</v>
      </c>
      <c r="O260" s="514">
        <v>7.0436310244599995E-2</v>
      </c>
      <c r="P260" s="514">
        <v>0</v>
      </c>
      <c r="Q260" s="673">
        <f>+N260/M260</f>
        <v>0.70637150989536224</v>
      </c>
      <c r="R260" s="674">
        <f>IF(L259="TT",(1.76*N260+0.5*O260+0.13*P260)-AF259,1.76*N260+0.5*O260+0.13*P260)</f>
        <v>0.33344329305125997</v>
      </c>
      <c r="S260" s="674">
        <f>IF(L259="TT",(M260*9.39+N260*6.99+O260*2.36)-AK259,M260*9.39+N260*6.99+O260*2.36)</f>
        <v>3.6031537813265304</v>
      </c>
      <c r="T260" s="674">
        <f>IF(L259="TT",(M260*676.94+N260*101.08+O260*77.38)-AP259,M260*676.94+N260*101.08+O260*77.38)</f>
        <v>184.96397311841659</v>
      </c>
      <c r="U260" s="1022" t="s">
        <v>278</v>
      </c>
      <c r="V260" s="514">
        <v>47</v>
      </c>
      <c r="W260" s="675">
        <f>IF(V260="NA", 0, (V260)*12/N260/43560)</f>
        <v>7.6411663168740235E-2</v>
      </c>
      <c r="X260" s="636">
        <f t="shared" si="91"/>
        <v>0.5</v>
      </c>
      <c r="Y260" s="706">
        <f>IF(X260="NA",0,R260*X260)</f>
        <v>0.16672164652562999</v>
      </c>
      <c r="Z260" s="635">
        <f>IF(ISNA(VLOOKUP(J260,'Efficiency Lookup'!$B$2:$C$38,2,FALSE)),0,(VLOOKUP(J260,'Efficiency Lookup'!$B$2:$C$38,2,FALSE)))</f>
        <v>0</v>
      </c>
      <c r="AA260" s="139">
        <f>R260*Z260</f>
        <v>0</v>
      </c>
      <c r="AB260" s="635">
        <f>IF(ISNA(VLOOKUP(K260,'Efficiency Lookup'!$D$2:$E$35,2,FALSE)),0,VLOOKUP(K260,'Efficiency Lookup'!$D$2:$E$35,2,FALSE))</f>
        <v>0</v>
      </c>
      <c r="AC260" s="139">
        <f>R260*AB260</f>
        <v>0</v>
      </c>
      <c r="AD260" s="637">
        <f>IF(U260="RR",IF((0.0304*(W260^5)-0.2619*(W260^4)+0.9161*(W260^3)-1.6837*(W260^2)+1.7072*W260-0.0091)&gt;0.85,0.85,IF((0.0304*(W260^5)-0.2619*(W260^4)+0.9161*(W260^3)-1.6837*(W260^2)+1.7072*W260-0.0091)&lt;0,0,(0.0304*(W260^5)-0.2619*(W260^4)+0.9161*(W260^3)-1.6837*(W260^2)+1.7072*W260-0.0091))),IF((0.0239*(W260^5)-0.2058*(W260^4)+0.7198*(W260^3)-1.3229*(W260^2)+1.3414*W260-0.0072)&gt;0.65,0.65,IF((0.0239*(W260^5)-0.2058*(W260^4)+0.7198*(W260^3)-1.3229*(W260^2)+1.3414*W260-0.0072)&lt;0,0,(0.0239*(W260^5)-0.2058*(W260^4)+0.7198*(W260^3)-1.3229*(W260^2)+1.3414*W260-0.0072))))</f>
        <v>8.7888716512350515E-2</v>
      </c>
      <c r="AE260" s="139">
        <f>R260*AD260</f>
        <v>2.9305903055926803E-2</v>
      </c>
      <c r="AF260" s="516">
        <f>MAX(Y260,AA260,AC260,AE260)</f>
        <v>0.16672164652562999</v>
      </c>
      <c r="AG260" s="634">
        <f>IF(ISNA(VLOOKUP(K260,'Efficiency Lookup'!$D$2:$G$35,3,FALSE)),0,VLOOKUP(K260,'Efficiency Lookup'!$D$2:$G$35,3,FALSE))</f>
        <v>0</v>
      </c>
      <c r="AH260" s="139">
        <f>S260*AG260</f>
        <v>0</v>
      </c>
      <c r="AI260" s="649">
        <f>IF(U260="RR",IF((0.0308*(W260^5)-0.2562*(W260^4)+0.8634*(W260^3)-1.5285*(W260^2)+1.501*W260-0.013)&gt;0.7,0.7,IF((0.0308*(W260^5)-0.2562*(W260^4)+0.8634*(W260^3)-1.5285*(W260^2)+1.501*W260-0.013)&lt;0,0,(0.0308*(W260^5)-0.2562*(W260^4)+0.8634*(W260^3)-1.5285*(W260^2)+1.501*W260-0.013))),IF((0.0152*(W260^5)-0.131*(W260^4)+0.4581*(W260^3)-0.8418*(W260^2)+0.8536*W260-0.0046)&gt;0.65,0.65,IF((0.0152*(W260^5)-0.131*(W260^4)+0.4581*(W260^3)-0.8418*(W260^2)+0.8536*W260-0.0046)&lt;0,0,(0.0152*(W260^5)-0.131*(W260^4)+0.4581*(W260^3)-0.8418*(W260^2)+0.8536*W260-0.0046))))</f>
        <v>5.5909896527463546E-2</v>
      </c>
      <c r="AJ260" s="1022">
        <f>S260*AI260</f>
        <v>0.20145195508650532</v>
      </c>
      <c r="AK260" s="416">
        <f t="shared" si="70"/>
        <v>0.20145195508650532</v>
      </c>
      <c r="AL260" s="634">
        <f>IF(ISNA(VLOOKUP(K260,'Efficiency Lookup'!$D$2:$G$35,4,FALSE)),0,VLOOKUP(K260,'Efficiency Lookup'!$D$2:$G$35,4,FALSE))</f>
        <v>0</v>
      </c>
      <c r="AM260" s="139">
        <f>T260*AL260</f>
        <v>0</v>
      </c>
      <c r="AN260" s="521">
        <f>IF(U260="RR",IF((0.0326*(W260^5)-0.2806*(W260^4)+0.9816*(W260^3)-1.8039*(W260^2)+1.8292*W260-0.0098)&gt;0.85,0.85,IF((0.0326*(W260^5)-0.2806*(W260^4)+0.9816*(W260^3)-1.8039*(W260^2)+1.8292*W260-0.0098)&lt;0,0,(0.0326*(W260^5)-0.2806*(W260^4)+0.9816*(W260^3)-1.8039*(W260^2)+1.8292*W260-0.0098))),IF((0.0304*(W260^5)-0.2619*(W260^4)+0.9161*(W260^3)-1.6837*(W260^2)+1.7072*W260-0.0091)&gt;0.8,0.8,IF((0.0304*(W260^5)-0.2619*(W260^4)+0.9161*(W260^3)-1.6837*(W260^2)+1.7072*W260-0.0091)&lt;0,0,(0.0304*(W260^5)-0.2619*(W260^4)+0.9161*(W260^3)-1.6837*(W260^2)+1.7072*W260-0.0091))))</f>
        <v>0.11191916797499064</v>
      </c>
      <c r="AO260" s="1005">
        <f>T260*AN260</f>
        <v>20.701013976761722</v>
      </c>
      <c r="AP260" s="647">
        <f>IF(AK260=AH260,AM260,AO260)</f>
        <v>20.701013976761722</v>
      </c>
      <c r="AQ260" s="789">
        <f>IF(AF260&lt;0,0,AF260)</f>
        <v>0.16672164652562999</v>
      </c>
      <c r="AR260" s="789">
        <f>IF(AK260&lt;0,0,AK260)</f>
        <v>0.20145195508650532</v>
      </c>
      <c r="AS260" s="790">
        <f>IF(AP260&lt;0,0,AP260)</f>
        <v>20.701013976761722</v>
      </c>
    </row>
    <row r="261" spans="1:45" x14ac:dyDescent="0.25">
      <c r="A261" s="261" t="s">
        <v>721</v>
      </c>
      <c r="B261" s="510">
        <v>38.023147999999999</v>
      </c>
      <c r="C261" s="510">
        <v>-78.448248000000007</v>
      </c>
      <c r="D261" s="510" t="s">
        <v>296</v>
      </c>
      <c r="E261" s="511">
        <v>261.02</v>
      </c>
      <c r="F261" s="669">
        <v>38952</v>
      </c>
      <c r="G261" s="510" t="s">
        <v>289</v>
      </c>
      <c r="H261" s="511" t="s">
        <v>722</v>
      </c>
      <c r="I261" s="511" t="str">
        <f t="shared" si="95"/>
        <v>Filterra</v>
      </c>
      <c r="J261" s="511"/>
      <c r="K261" s="511"/>
      <c r="L261" s="261"/>
      <c r="M261" s="514">
        <f>N261+O261+P261</f>
        <v>0.28172531346599999</v>
      </c>
      <c r="N261" s="672">
        <v>0.229167407194</v>
      </c>
      <c r="O261" s="514">
        <v>5.2557906272E-2</v>
      </c>
      <c r="P261" s="514">
        <v>0</v>
      </c>
      <c r="Q261" s="673">
        <f>+N261/M261</f>
        <v>0.81344272679869445</v>
      </c>
      <c r="R261" s="674">
        <f>IF(L260="TT",(1.76*N261+0.5*O261+0.13*P261)-AF260,1.76*N261+0.5*O261+0.13*P261)</f>
        <v>0.42961358979743997</v>
      </c>
      <c r="S261" s="674">
        <f>IF(L260="TT",(M261*9.39+N261*6.99+O261*2.36)-AK260,M261*9.39+N261*6.99+O261*2.36)</f>
        <v>4.3713175285337194</v>
      </c>
      <c r="T261" s="674">
        <f>IF(L260="TT",(M261*676.94+N261*101.08+O261*77.38)-AP260,M261*676.94+N261*101.08+O261*77.38)</f>
        <v>217.94230600417092</v>
      </c>
      <c r="U261" s="1022" t="s">
        <v>278</v>
      </c>
      <c r="V261" s="514">
        <v>71</v>
      </c>
      <c r="W261" s="675">
        <f>IF(V261="NA", 0, (V261)*12/N261/43560)</f>
        <v>8.5349085586066853E-2</v>
      </c>
      <c r="X261" s="636">
        <f t="shared" si="91"/>
        <v>0.5</v>
      </c>
      <c r="Y261" s="706">
        <f>IF(X261="NA",0,R261*X261)</f>
        <v>0.21480679489871998</v>
      </c>
      <c r="Z261" s="635">
        <f>IF(ISNA(VLOOKUP(J261,'Efficiency Lookup'!$B$2:$C$38,2,FALSE)),0,(VLOOKUP(J261,'Efficiency Lookup'!$B$2:$C$38,2,FALSE)))</f>
        <v>0</v>
      </c>
      <c r="AA261" s="139">
        <f>R261*Z261</f>
        <v>0</v>
      </c>
      <c r="AB261" s="635">
        <f>IF(ISNA(VLOOKUP(K261,'Efficiency Lookup'!$D$2:$E$35,2,FALSE)),0,VLOOKUP(K261,'Efficiency Lookup'!$D$2:$E$35,2,FALSE))</f>
        <v>0</v>
      </c>
      <c r="AC261" s="139">
        <f>R261*AB261</f>
        <v>0</v>
      </c>
      <c r="AD261" s="637">
        <f>IF(U261="RR",IF((0.0304*(W261^5)-0.2619*(W261^4)+0.9161*(W261^3)-1.6837*(W261^2)+1.7072*W261-0.0091)&gt;0.85,0.85,IF((0.0304*(W261^5)-0.2619*(W261^4)+0.9161*(W261^3)-1.6837*(W261^2)+1.7072*W261-0.0091)&lt;0,0,(0.0304*(W261^5)-0.2619*(W261^4)+0.9161*(W261^3)-1.6837*(W261^2)+1.7072*W261-0.0091))),IF((0.0239*(W261^5)-0.2058*(W261^4)+0.7198*(W261^3)-1.3229*(W261^2)+1.3414*W261-0.0072)&gt;0.65,0.65,IF((0.0239*(W261^5)-0.2058*(W261^4)+0.7198*(W261^3)-1.3229*(W261^2)+1.3414*W261-0.0072)&lt;0,0,(0.0239*(W261^5)-0.2058*(W261^4)+0.7198*(W261^3)-1.3229*(W261^2)+1.3414*W261-0.0072))))</f>
        <v>9.8087346463194433E-2</v>
      </c>
      <c r="AE261" s="139">
        <f>R261*AD261</f>
        <v>4.2139657027758189E-2</v>
      </c>
      <c r="AF261" s="516">
        <f>MAX(Y261,AA261,AC261,AE261)</f>
        <v>0.21480679489871998</v>
      </c>
      <c r="AG261" s="634">
        <f>IF(ISNA(VLOOKUP(K261,'Efficiency Lookup'!$D$2:$G$35,3,FALSE)),0,VLOOKUP(K261,'Efficiency Lookup'!$D$2:$G$35,3,FALSE))</f>
        <v>0</v>
      </c>
      <c r="AH261" s="139">
        <f>S261*AG261</f>
        <v>0</v>
      </c>
      <c r="AI261" s="649">
        <f>IF(U261="RR",IF((0.0308*(W261^5)-0.2562*(W261^4)+0.8634*(W261^3)-1.5285*(W261^2)+1.501*W261-0.013)&gt;0.7,0.7,IF((0.0308*(W261^5)-0.2562*(W261^4)+0.8634*(W261^3)-1.5285*(W261^2)+1.501*W261-0.013)&lt;0,0,(0.0308*(W261^5)-0.2562*(W261^4)+0.8634*(W261^3)-1.5285*(W261^2)+1.501*W261-0.013))),IF((0.0152*(W261^5)-0.131*(W261^4)+0.4581*(W261^3)-0.8418*(W261^2)+0.8536*W261-0.0046)&gt;0.65,0.65,IF((0.0152*(W261^5)-0.131*(W261^4)+0.4581*(W261^3)-0.8418*(W261^2)+0.8536*W261-0.0046)&lt;0,0,(0.0152*(W261^5)-0.131*(W261^4)+0.4581*(W261^3)-0.8418*(W261^2)+0.8536*W261-0.0046))))</f>
        <v>6.2399844258313679E-2</v>
      </c>
      <c r="AJ261" s="1022">
        <f>S261*AI261</f>
        <v>0.27276953298414075</v>
      </c>
      <c r="AK261" s="416">
        <f t="shared" si="70"/>
        <v>0.27276953298414075</v>
      </c>
      <c r="AL261" s="634">
        <f>IF(ISNA(VLOOKUP(K261,'Efficiency Lookup'!$D$2:$G$35,4,FALSE)),0,VLOOKUP(K261,'Efficiency Lookup'!$D$2:$G$35,4,FALSE))</f>
        <v>0</v>
      </c>
      <c r="AM261" s="139">
        <f>T261*AL261</f>
        <v>0</v>
      </c>
      <c r="AN261" s="521">
        <f>IF(U261="RR",IF((0.0326*(W261^5)-0.2806*(W261^4)+0.9816*(W261^3)-1.8039*(W261^2)+1.8292*W261-0.0098)&gt;0.85,0.85,IF((0.0326*(W261^5)-0.2806*(W261^4)+0.9816*(W261^3)-1.8039*(W261^2)+1.8292*W261-0.0098)&lt;0,0,(0.0326*(W261^5)-0.2806*(W261^4)+0.9816*(W261^3)-1.8039*(W261^2)+1.8292*W261-0.0098))),IF((0.0304*(W261^5)-0.2619*(W261^4)+0.9161*(W261^3)-1.6837*(W261^2)+1.7072*W261-0.0091)&gt;0.8,0.8,IF((0.0304*(W261^5)-0.2619*(W261^4)+0.9161*(W261^3)-1.6837*(W261^2)+1.7072*W261-0.0091)&lt;0,0,(0.0304*(W261^5)-0.2619*(W261^4)+0.9161*(W261^3)-1.6837*(W261^2)+1.7072*W261-0.0091))))</f>
        <v>0.12489890320407671</v>
      </c>
      <c r="AO261" s="1005">
        <f>T261*AN261</f>
        <v>27.220754981688209</v>
      </c>
      <c r="AP261" s="647">
        <f>IF(AK261=AH261,AM261,AO261)</f>
        <v>27.220754981688209</v>
      </c>
      <c r="AQ261" s="789">
        <f>IF(AF261&lt;0,0,AF261)</f>
        <v>0.21480679489871998</v>
      </c>
      <c r="AR261" s="789">
        <f>IF(AK261&lt;0,0,AK261)</f>
        <v>0.27276953298414075</v>
      </c>
      <c r="AS261" s="790">
        <f>IF(AP261&lt;0,0,AP261)</f>
        <v>27.220754981688209</v>
      </c>
    </row>
    <row r="262" spans="1:45" x14ac:dyDescent="0.25">
      <c r="A262" s="261" t="s">
        <v>721</v>
      </c>
      <c r="B262" s="510">
        <v>38.024120000000003</v>
      </c>
      <c r="C262" s="510">
        <v>-78.448533999999995</v>
      </c>
      <c r="D262" s="510" t="s">
        <v>296</v>
      </c>
      <c r="E262" s="511">
        <v>261.02999999999997</v>
      </c>
      <c r="F262" s="669">
        <v>38952</v>
      </c>
      <c r="G262" s="510" t="s">
        <v>289</v>
      </c>
      <c r="H262" s="511" t="s">
        <v>369</v>
      </c>
      <c r="I262" s="511" t="str">
        <f t="shared" si="95"/>
        <v>Filterra</v>
      </c>
      <c r="J262" s="511"/>
      <c r="K262" s="511"/>
      <c r="L262" s="261"/>
      <c r="M262" s="514">
        <f>N262+O262+P262</f>
        <v>0.66063996787176904</v>
      </c>
      <c r="N262" s="672">
        <v>0.47799507832576904</v>
      </c>
      <c r="O262" s="514">
        <v>0.182644889546</v>
      </c>
      <c r="P262" s="514">
        <v>0</v>
      </c>
      <c r="Q262" s="673">
        <f>+N262/M262</f>
        <v>0.72353339424136753</v>
      </c>
      <c r="R262" s="674">
        <f>IF(L261="TT",(1.76*N262+0.5*O262+0.13*P262)-AF261,1.76*N262+0.5*O262+0.13*P262)</f>
        <v>0.93259378262635351</v>
      </c>
      <c r="S262" s="674">
        <f>IF(L261="TT",(M262*9.39+N262*6.99+O262*2.36)-AK261,M262*9.39+N262*6.99+O262*2.36)</f>
        <v>9.9756368351415983</v>
      </c>
      <c r="T262" s="674">
        <f>IF(L261="TT",(M262*676.94+N262*101.08+O262*77.38)-AP261,M262*676.94+N262*101.08+O262*77.38)</f>
        <v>509.66242392135359</v>
      </c>
      <c r="U262" s="1022" t="s">
        <v>278</v>
      </c>
      <c r="V262" s="514">
        <v>89</v>
      </c>
      <c r="W262" s="675">
        <f>IF(V262="NA", 0, (V262)*12/N262/43560)</f>
        <v>5.1293219214651437E-2</v>
      </c>
      <c r="X262" s="636">
        <f t="shared" si="91"/>
        <v>0.5</v>
      </c>
      <c r="Y262" s="706">
        <f>IF(X262="NA",0,R262*X262)</f>
        <v>0.46629689131317675</v>
      </c>
      <c r="Z262" s="635">
        <f>IF(ISNA(VLOOKUP(J262,'Efficiency Lookup'!$B$2:$C$38,2,FALSE)),0,(VLOOKUP(J262,'Efficiency Lookup'!$B$2:$C$38,2,FALSE)))</f>
        <v>0</v>
      </c>
      <c r="AA262" s="139">
        <f>R262*Z262</f>
        <v>0</v>
      </c>
      <c r="AB262" s="635">
        <f>IF(ISNA(VLOOKUP(K262,'Efficiency Lookup'!$D$2:$E$35,2,FALSE)),0,VLOOKUP(K262,'Efficiency Lookup'!$D$2:$E$35,2,FALSE))</f>
        <v>0</v>
      </c>
      <c r="AC262" s="139">
        <f>R262*AB262</f>
        <v>0</v>
      </c>
      <c r="AD262" s="637">
        <f>IF(U262="RR",IF((0.0304*(W262^5)-0.2619*(W262^4)+0.9161*(W262^3)-1.6837*(W262^2)+1.7072*W262-0.0091)&gt;0.85,0.85,IF((0.0304*(W262^5)-0.2619*(W262^4)+0.9161*(W262^3)-1.6837*(W262^2)+1.7072*W262-0.0091)&lt;0,0,(0.0304*(W262^5)-0.2619*(W262^4)+0.9161*(W262^3)-1.6837*(W262^2)+1.7072*W262-0.0091))),IF((0.0239*(W262^5)-0.2058*(W262^4)+0.7198*(W262^3)-1.3229*(W262^2)+1.3414*W262-0.0072)&gt;0.65,0.65,IF((0.0239*(W262^5)-0.2058*(W262^4)+0.7198*(W262^3)-1.3229*(W262^2)+1.3414*W262-0.0072)&lt;0,0,(0.0239*(W262^5)-0.2058*(W262^4)+0.7198*(W262^3)-1.3229*(W262^2)+1.3414*W262-0.0072))))</f>
        <v>5.8219904328340649E-2</v>
      </c>
      <c r="AE262" s="139">
        <f>R262*AD262</f>
        <v>5.4295520801711614E-2</v>
      </c>
      <c r="AF262" s="516">
        <f>MAX(Y262,AA262,AC262,AE262)</f>
        <v>0.46629689131317675</v>
      </c>
      <c r="AG262" s="634">
        <f>IF(ISNA(VLOOKUP(K262,'Efficiency Lookup'!$D$2:$G$35,3,FALSE)),0,VLOOKUP(K262,'Efficiency Lookup'!$D$2:$G$35,3,FALSE))</f>
        <v>0</v>
      </c>
      <c r="AH262" s="139">
        <f>S262*AG262</f>
        <v>0</v>
      </c>
      <c r="AI262" s="649">
        <f>IF(U262="RR",IF((0.0308*(W262^5)-0.2562*(W262^4)+0.8634*(W262^3)-1.5285*(W262^2)+1.501*W262-0.013)&gt;0.7,0.7,IF((0.0308*(W262^5)-0.2562*(W262^4)+0.8634*(W262^3)-1.5285*(W262^2)+1.501*W262-0.013)&lt;0,0,(0.0308*(W262^5)-0.2562*(W262^4)+0.8634*(W262^3)-1.5285*(W262^2)+1.501*W262-0.013))),IF((0.0152*(W262^5)-0.131*(W262^4)+0.4581*(W262^3)-0.8418*(W262^2)+0.8536*W262-0.0046)&gt;0.65,0.65,IF((0.0152*(W262^5)-0.131*(W262^4)+0.4581*(W262^3)-0.8418*(W262^2)+0.8536*W262-0.0046)&lt;0,0,(0.0152*(W262^5)-0.131*(W262^4)+0.4581*(W262^3)-0.8418*(W262^2)+0.8536*W262-0.0046))))</f>
        <v>3.7030041074857883E-2</v>
      </c>
      <c r="AJ262" s="1022">
        <f>S262*AI262</f>
        <v>0.36939824175315866</v>
      </c>
      <c r="AK262" s="416">
        <f t="shared" ref="AK262:AK325" si="96">IF(AJ262="","",IF(OR(AF262=Y262,AF262=AA262),MAX(AH262,AJ262),IF(AF262=AC262,AH262,IF(AF262=AE262,AJ262))))</f>
        <v>0.36939824175315866</v>
      </c>
      <c r="AL262" s="634">
        <f>IF(ISNA(VLOOKUP(K262,'Efficiency Lookup'!$D$2:$G$35,4,FALSE)),0,VLOOKUP(K262,'Efficiency Lookup'!$D$2:$G$35,4,FALSE))</f>
        <v>0</v>
      </c>
      <c r="AM262" s="139">
        <f>T262*AL262</f>
        <v>0</v>
      </c>
      <c r="AN262" s="521">
        <f>IF(U262="RR",IF((0.0326*(W262^5)-0.2806*(W262^4)+0.9816*(W262^3)-1.8039*(W262^2)+1.8292*W262-0.0098)&gt;0.85,0.85,IF((0.0326*(W262^5)-0.2806*(W262^4)+0.9816*(W262^3)-1.8039*(W262^2)+1.8292*W262-0.0098)&lt;0,0,(0.0326*(W262^5)-0.2806*(W262^4)+0.9816*(W262^3)-1.8039*(W262^2)+1.8292*W262-0.0098))),IF((0.0304*(W262^5)-0.2619*(W262^4)+0.9161*(W262^3)-1.6837*(W262^2)+1.7072*W262-0.0091)&gt;0.8,0.8,IF((0.0304*(W262^5)-0.2619*(W262^4)+0.9161*(W262^3)-1.6837*(W262^2)+1.7072*W262-0.0091)&lt;0,0,(0.0304*(W262^5)-0.2619*(W262^4)+0.9161*(W262^3)-1.6837*(W262^2)+1.7072*W262-0.0091))))</f>
        <v>7.415980624727822E-2</v>
      </c>
      <c r="AO262" s="1005">
        <f>T262*AN262</f>
        <v>37.796466609525758</v>
      </c>
      <c r="AP262" s="647">
        <f>IF(AK262=AH262,AM262,AO262)</f>
        <v>37.796466609525758</v>
      </c>
      <c r="AQ262" s="789">
        <f>IF(AF262&lt;0,0,AF262)</f>
        <v>0.46629689131317675</v>
      </c>
      <c r="AR262" s="789">
        <f>IF(AK262&lt;0,0,AK262)</f>
        <v>0.36939824175315866</v>
      </c>
      <c r="AS262" s="790">
        <f>IF(AP262&lt;0,0,AP262)</f>
        <v>37.796466609525758</v>
      </c>
    </row>
    <row r="263" spans="1:45" x14ac:dyDescent="0.25">
      <c r="A263" s="261"/>
      <c r="B263" s="510" t="s">
        <v>297</v>
      </c>
      <c r="C263" s="510" t="s">
        <v>297</v>
      </c>
      <c r="D263" s="510" t="s">
        <v>297</v>
      </c>
      <c r="E263" s="511"/>
      <c r="F263" s="705"/>
      <c r="G263" s="510"/>
      <c r="H263" s="511"/>
      <c r="I263" s="261" t="str">
        <f t="shared" si="95"/>
        <v/>
      </c>
      <c r="J263" s="511"/>
      <c r="K263" s="511"/>
      <c r="L263" s="510"/>
      <c r="M263" s="510"/>
      <c r="N263" s="672"/>
      <c r="O263" s="514"/>
      <c r="P263" s="514" t="s">
        <v>297</v>
      </c>
      <c r="Q263" s="688"/>
      <c r="R263" s="674"/>
      <c r="S263" s="674"/>
      <c r="T263" s="674"/>
      <c r="U263" s="1022"/>
      <c r="V263" s="514"/>
      <c r="W263" s="675"/>
      <c r="X263" s="636" t="str">
        <f t="shared" si="91"/>
        <v/>
      </c>
      <c r="Y263" s="706"/>
      <c r="Z263" s="640"/>
      <c r="AA263" s="1022"/>
      <c r="AB263" s="637"/>
      <c r="AC263" s="637"/>
      <c r="AD263" s="637"/>
      <c r="AE263" s="139"/>
      <c r="AF263" s="642"/>
      <c r="AG263" s="583"/>
      <c r="AH263" s="139"/>
      <c r="AI263" s="637"/>
      <c r="AJ263" s="139"/>
      <c r="AK263" s="416" t="str">
        <f t="shared" si="96"/>
        <v/>
      </c>
      <c r="AL263" s="642"/>
      <c r="AM263" s="637"/>
      <c r="AN263" s="637"/>
      <c r="AO263" s="139"/>
      <c r="AP263" s="647"/>
      <c r="AQ263" s="789"/>
      <c r="AR263" s="789"/>
      <c r="AS263" s="790"/>
    </row>
    <row r="264" spans="1:45" x14ac:dyDescent="0.25">
      <c r="A264" s="628"/>
      <c r="B264" s="668" t="s">
        <v>297</v>
      </c>
      <c r="C264" s="668" t="s">
        <v>297</v>
      </c>
      <c r="D264" s="668" t="s">
        <v>297</v>
      </c>
      <c r="E264" s="710"/>
      <c r="F264" s="711"/>
      <c r="G264" s="668"/>
      <c r="H264" s="712"/>
      <c r="I264" s="712" t="str">
        <f t="shared" si="95"/>
        <v/>
      </c>
      <c r="J264" s="712"/>
      <c r="K264" s="712"/>
      <c r="L264" s="712"/>
      <c r="M264" s="712"/>
      <c r="N264" s="712"/>
      <c r="O264" s="712"/>
      <c r="P264" s="712"/>
      <c r="Q264" s="712"/>
      <c r="R264" s="712"/>
      <c r="S264" s="712"/>
      <c r="T264" s="712"/>
      <c r="U264" s="712"/>
      <c r="V264" s="712"/>
      <c r="W264" s="712"/>
      <c r="X264" s="760" t="str">
        <f t="shared" si="91"/>
        <v/>
      </c>
      <c r="Y264" s="713"/>
      <c r="Z264" s="712"/>
      <c r="AA264" s="712"/>
      <c r="AB264" s="638"/>
      <c r="AC264" s="638"/>
      <c r="AD264" s="638"/>
      <c r="AE264" s="629"/>
      <c r="AF264" s="666"/>
      <c r="AG264" s="666"/>
      <c r="AH264" s="629"/>
      <c r="AI264" s="638"/>
      <c r="AJ264" s="629"/>
      <c r="AK264" s="639" t="str">
        <f t="shared" si="96"/>
        <v/>
      </c>
      <c r="AL264" s="644"/>
      <c r="AM264" s="638"/>
      <c r="AN264" s="638"/>
      <c r="AO264" s="629"/>
      <c r="AP264" s="648"/>
      <c r="AQ264" s="791"/>
      <c r="AR264" s="791"/>
      <c r="AS264" s="792"/>
    </row>
    <row r="265" spans="1:45" ht="14.45" customHeight="1" x14ac:dyDescent="0.25">
      <c r="A265" s="261"/>
      <c r="B265" s="510" t="s">
        <v>297</v>
      </c>
      <c r="C265" s="510" t="s">
        <v>297</v>
      </c>
      <c r="D265" s="510" t="s">
        <v>297</v>
      </c>
      <c r="E265" s="704"/>
      <c r="F265" s="705"/>
      <c r="G265" s="510"/>
      <c r="H265" s="511"/>
      <c r="I265" s="261" t="str">
        <f t="shared" si="95"/>
        <v/>
      </c>
      <c r="J265" s="511"/>
      <c r="K265" s="511"/>
      <c r="L265" s="510"/>
      <c r="M265" s="510"/>
      <c r="N265" s="672"/>
      <c r="O265" s="514"/>
      <c r="P265" s="514" t="s">
        <v>297</v>
      </c>
      <c r="Q265" s="688"/>
      <c r="R265" s="674"/>
      <c r="S265" s="674"/>
      <c r="T265" s="674"/>
      <c r="U265" s="1022"/>
      <c r="V265" s="514"/>
      <c r="W265" s="675"/>
      <c r="X265" s="636" t="str">
        <f t="shared" si="91"/>
        <v/>
      </c>
      <c r="Y265" s="706"/>
      <c r="Z265" s="640"/>
      <c r="AA265" s="1022"/>
      <c r="AB265" s="637"/>
      <c r="AC265" s="637"/>
      <c r="AD265" s="637"/>
      <c r="AE265" s="139"/>
      <c r="AF265" s="642"/>
      <c r="AG265" s="583"/>
      <c r="AH265" s="139"/>
      <c r="AI265" s="637"/>
      <c r="AJ265" s="139"/>
      <c r="AK265" s="416" t="str">
        <f t="shared" si="96"/>
        <v/>
      </c>
      <c r="AL265" s="642"/>
      <c r="AM265" s="637"/>
      <c r="AN265" s="637"/>
      <c r="AO265" s="139"/>
      <c r="AP265" s="647"/>
      <c r="AQ265" s="789"/>
      <c r="AR265" s="789"/>
      <c r="AS265" s="790"/>
    </row>
    <row r="266" spans="1:45" ht="30" x14ac:dyDescent="0.25">
      <c r="A266" s="261" t="s">
        <v>723</v>
      </c>
      <c r="B266" s="510">
        <v>37.995337999999997</v>
      </c>
      <c r="C266" s="510">
        <v>-78.487239000000002</v>
      </c>
      <c r="D266" s="510" t="s">
        <v>296</v>
      </c>
      <c r="E266" s="511">
        <v>249.01</v>
      </c>
      <c r="F266" s="669">
        <v>38834</v>
      </c>
      <c r="G266" s="510" t="s">
        <v>281</v>
      </c>
      <c r="H266" s="511"/>
      <c r="I266" s="511"/>
      <c r="J266" s="511" t="s">
        <v>343</v>
      </c>
      <c r="K266" s="511" t="s">
        <v>315</v>
      </c>
      <c r="L266" s="261"/>
      <c r="M266" s="514">
        <f t="shared" ref="M266:M272" si="97">N266+O266+P266</f>
        <v>2.0453338663189999</v>
      </c>
      <c r="N266" s="672">
        <v>1.127025835707</v>
      </c>
      <c r="O266" s="514">
        <v>0.91830803061199995</v>
      </c>
      <c r="P266" s="514">
        <v>0</v>
      </c>
      <c r="Q266" s="673">
        <f t="shared" ref="Q266:Q273" si="98">+N266/M266</f>
        <v>0.55102291819736759</v>
      </c>
      <c r="R266" s="674">
        <f t="shared" ref="R266:R272" si="99">IF(L265="TT",(1.76*N266+0.5*O266+0.13*P266)-AF265,1.76*N266+0.5*O266+0.13*P266)</f>
        <v>2.4427194861503199</v>
      </c>
      <c r="S266" s="674">
        <f t="shared" ref="S266:S272" si="100">IF(L265="TT",(M266*9.39+N266*6.99+O266*2.36)-AK265,M266*9.39+N266*6.99+O266*2.36)</f>
        <v>29.250802548571663</v>
      </c>
      <c r="T266" s="674">
        <f t="shared" ref="T266:T272" si="101">IF(L265="TT",(M266*676.94+N266*101.08+O266*77.38)-AP265,M266*676.94+N266*101.08+O266*77.38)</f>
        <v>1569.546754348004</v>
      </c>
      <c r="U266" s="1022" t="s">
        <v>285</v>
      </c>
      <c r="V266" s="514">
        <v>1909.3245336</v>
      </c>
      <c r="W266" s="675">
        <f t="shared" ref="W266:W273" si="102">IF(V266="NA", 0, (V266)*12/N266/43560)</f>
        <v>0.46670156382887357</v>
      </c>
      <c r="X266" s="634" t="str">
        <f t="shared" si="91"/>
        <v>NA</v>
      </c>
      <c r="Y266" s="676">
        <f t="shared" ref="Y266:Y273" si="103">IF(X266="NA",0,R266*X266)</f>
        <v>0</v>
      </c>
      <c r="Z266" s="635">
        <f>IF(ISNA(VLOOKUP(J266,'Efficiency Lookup'!$B$2:$C$38,2,FALSE)),0,(VLOOKUP(J266,'Efficiency Lookup'!$B$2:$C$38,2,FALSE)))</f>
        <v>0.5</v>
      </c>
      <c r="AA266" s="139">
        <f t="shared" ref="AA266:AA273" si="104">R266*Z266</f>
        <v>1.2213597430751599</v>
      </c>
      <c r="AB266" s="640">
        <f>IF(ISNA(VLOOKUP(K266,'Efficiency Lookup'!$D$2:$E$35,2,FALSE)),0,VLOOKUP(K266,'Efficiency Lookup'!$D$2:$E$35,2,FALSE))</f>
        <v>0.75</v>
      </c>
      <c r="AC266" s="1022">
        <f t="shared" ref="AC266:AC273" si="105">R266*AB266</f>
        <v>1.8320396146127398</v>
      </c>
      <c r="AD266" s="637">
        <f t="shared" ref="AD266:AD273" si="106">IF(U266="RR",IF((0.0304*(W266^5)-0.2619*(W266^4)+0.9161*(W266^3)-1.6837*(W266^2)+1.7072*W266-0.0091)&gt;0.85,0.85,IF((0.0304*(W266^5)-0.2619*(W266^4)+0.9161*(W266^3)-1.6837*(W266^2)+1.7072*W266-0.0091)&lt;0,0,(0.0304*(W266^5)-0.2619*(W266^4)+0.9161*(W266^3)-1.6837*(W266^2)+1.7072*W266-0.0091))),IF((0.0239*(W266^5)-0.2058*(W266^4)+0.7198*(W266^3)-1.3229*(W266^2)+1.3414*W266-0.0072)&gt;0.65,0.65,IF((0.0239*(W266^5)-0.2058*(W266^4)+0.7198*(W266^3)-1.3229*(W266^2)+1.3414*W266-0.0072)&lt;0,0,(0.0239*(W266^5)-0.2058*(W266^4)+0.7198*(W266^3)-1.3229*(W266^2)+1.3414*W266-0.0072))))</f>
        <v>0.50229761165292097</v>
      </c>
      <c r="AE266" s="139">
        <f t="shared" ref="AE266:AE273" si="107">R266*AD266</f>
        <v>1.226972163831356</v>
      </c>
      <c r="AF266" s="516">
        <f t="shared" ref="AF266:AF273" si="108">MAX(Y266,AA266,AC266,AE266)</f>
        <v>1.8320396146127398</v>
      </c>
      <c r="AG266" s="636">
        <f>IF(ISNA(VLOOKUP(K266,'Efficiency Lookup'!$D$2:$G$35,3,FALSE)),0,VLOOKUP(K266,'Efficiency Lookup'!$D$2:$G$35,3,FALSE))</f>
        <v>0.7</v>
      </c>
      <c r="AH266" s="1022">
        <f t="shared" ref="AH266:AH273" si="109">S266*AG266</f>
        <v>20.475561784000163</v>
      </c>
      <c r="AI266" s="637">
        <f t="shared" ref="AI266:AI273" si="110">IF(U266="RR",IF((0.0308*(W266^5)-0.2562*(W266^4)+0.8634*(W266^3)-1.5285*(W266^2)+1.501*W266-0.013)&gt;0.7,0.7,IF((0.0308*(W266^5)-0.2562*(W266^4)+0.8634*(W266^3)-1.5285*(W266^2)+1.501*W266-0.013)&lt;0,0,(0.0308*(W266^5)-0.2562*(W266^4)+0.8634*(W266^3)-1.5285*(W266^2)+1.501*W266-0.013))),IF((0.0152*(W266^5)-0.131*(W266^4)+0.4581*(W266^3)-0.8418*(W266^2)+0.8536*W266-0.0046)&gt;0.65,0.65,IF((0.0152*(W266^5)-0.131*(W266^4)+0.4581*(W266^3)-0.8418*(W266^2)+0.8536*W266-0.0046)&lt;0,0,(0.0152*(W266^5)-0.131*(W266^4)+0.4581*(W266^3)-0.8418*(W266^2)+0.8536*W266-0.0046))))</f>
        <v>0.43089010442453823</v>
      </c>
      <c r="AJ266" s="139">
        <f t="shared" ref="AJ266:AJ273" si="111">S266*AI266</f>
        <v>12.603881364655592</v>
      </c>
      <c r="AK266" s="416">
        <f t="shared" si="96"/>
        <v>20.475561784000163</v>
      </c>
      <c r="AL266" s="641">
        <f>IF(ISNA(VLOOKUP(K266,'Efficiency Lookup'!$D$2:$G$35,4,FALSE)),0,VLOOKUP(K266,'Efficiency Lookup'!$D$2:$G$35,4,FALSE))</f>
        <v>0.8</v>
      </c>
      <c r="AM266" s="1022">
        <f t="shared" ref="AM266:AM273" si="112">T266*AL266</f>
        <v>1255.6374034784033</v>
      </c>
      <c r="AN266" s="637">
        <f t="shared" ref="AN266:AN273" si="113">IF(U266="RR",IF((0.0326*(W266^5)-0.2806*(W266^4)+0.9816*(W266^3)-1.8039*(W266^2)+1.8292*W266-0.0098)&gt;0.85,0.85,IF((0.0326*(W266^5)-0.2806*(W266^4)+0.9816*(W266^3)-1.8039*(W266^2)+1.8292*W266-0.0098)&lt;0,0,(0.0326*(W266^5)-0.2806*(W266^4)+0.9816*(W266^3)-1.8039*(W266^2)+1.8292*W266-0.0098))),IF((0.0304*(W266^5)-0.2619*(W266^4)+0.9161*(W266^3)-1.6837*(W266^2)+1.7072*W266-0.0091)&gt;0.8,0.8,IF((0.0304*(W266^5)-0.2619*(W266^4)+0.9161*(W266^3)-1.6837*(W266^2)+1.7072*W266-0.0091)&lt;0,0,(0.0304*(W266^5)-0.2619*(W266^4)+0.9161*(W266^3)-1.6837*(W266^2)+1.7072*W266-0.0091))))</f>
        <v>0.53817418950448315</v>
      </c>
      <c r="AO266" s="139">
        <f t="shared" ref="AO266:AO273" si="114">T266*AN266</f>
        <v>844.68955241062918</v>
      </c>
      <c r="AP266" s="647">
        <f t="shared" ref="AP266:AP273" si="115">IF(AK266=AH266,AM266,AO266)</f>
        <v>1255.6374034784033</v>
      </c>
      <c r="AQ266" s="789">
        <f t="shared" ref="AQ266:AQ273" si="116">IF(AF266&lt;0,0,AF266)</f>
        <v>1.8320396146127398</v>
      </c>
      <c r="AR266" s="789">
        <f t="shared" ref="AR266:AR273" si="117">IF(AK266&lt;0,0,AK266)</f>
        <v>20.475561784000163</v>
      </c>
      <c r="AS266" s="790">
        <f t="shared" ref="AS266:AS273" si="118">IF(AP266&lt;0,0,AP266)</f>
        <v>1255.6374034784033</v>
      </c>
    </row>
    <row r="267" spans="1:45" ht="30" x14ac:dyDescent="0.25">
      <c r="A267" s="261" t="s">
        <v>723</v>
      </c>
      <c r="B267" s="510">
        <v>37.995845000000003</v>
      </c>
      <c r="C267" s="510">
        <v>-78.486986000000002</v>
      </c>
      <c r="D267" s="510" t="s">
        <v>286</v>
      </c>
      <c r="E267" s="511">
        <v>249.02</v>
      </c>
      <c r="F267" s="669">
        <v>38834</v>
      </c>
      <c r="G267" s="510" t="s">
        <v>281</v>
      </c>
      <c r="H267" s="511"/>
      <c r="I267" s="511"/>
      <c r="J267" s="511" t="s">
        <v>343</v>
      </c>
      <c r="K267" s="511" t="s">
        <v>315</v>
      </c>
      <c r="L267" s="261"/>
      <c r="M267" s="514">
        <f t="shared" si="97"/>
        <v>0.86576479865979994</v>
      </c>
      <c r="N267" s="672">
        <v>0.6409855544537999</v>
      </c>
      <c r="O267" s="514">
        <v>0.22477924420600001</v>
      </c>
      <c r="P267" s="514">
        <v>0</v>
      </c>
      <c r="Q267" s="673">
        <f t="shared" si="98"/>
        <v>0.74036915735779818</v>
      </c>
      <c r="R267" s="674">
        <f t="shared" si="99"/>
        <v>1.2405241979416879</v>
      </c>
      <c r="S267" s="674">
        <f t="shared" si="100"/>
        <v>13.140499501373744</v>
      </c>
      <c r="T267" s="674">
        <f t="shared" si="101"/>
        <v>668.25506056561539</v>
      </c>
      <c r="U267" s="1022" t="s">
        <v>285</v>
      </c>
      <c r="V267" s="514">
        <v>1274.6510865</v>
      </c>
      <c r="W267" s="675">
        <f t="shared" si="102"/>
        <v>0.54781819583940283</v>
      </c>
      <c r="X267" s="634" t="str">
        <f t="shared" si="91"/>
        <v>NA</v>
      </c>
      <c r="Y267" s="676">
        <f t="shared" si="103"/>
        <v>0</v>
      </c>
      <c r="Z267" s="635">
        <f>IF(ISNA(VLOOKUP(J267,'Efficiency Lookup'!$B$2:$C$38,2,FALSE)),0,(VLOOKUP(J267,'Efficiency Lookup'!$B$2:$C$38,2,FALSE)))</f>
        <v>0.5</v>
      </c>
      <c r="AA267" s="139">
        <f t="shared" si="104"/>
        <v>0.62026209897084394</v>
      </c>
      <c r="AB267" s="1061">
        <f>IF(ISNA(VLOOKUP(K267,'Efficiency Lookup'!$D$2:$E$35,2,FALSE)),0,VLOOKUP(K267,'Efficiency Lookup'!$D$2:$E$35,2,FALSE))</f>
        <v>0.75</v>
      </c>
      <c r="AC267" s="1005">
        <f t="shared" si="105"/>
        <v>0.93039314845626597</v>
      </c>
      <c r="AD267" s="637">
        <f t="shared" si="106"/>
        <v>0.5493706805811176</v>
      </c>
      <c r="AE267" s="139">
        <f t="shared" si="107"/>
        <v>0.6815076229005701</v>
      </c>
      <c r="AF267" s="516">
        <f t="shared" si="108"/>
        <v>0.93039314845626597</v>
      </c>
      <c r="AG267" s="642">
        <f>IF(ISNA(VLOOKUP(K267,'Efficiency Lookup'!$D$2:$G$35,3,FALSE)),0,VLOOKUP(K267,'Efficiency Lookup'!$D$2:$G$35,3,FALSE))</f>
        <v>0.7</v>
      </c>
      <c r="AH267" s="139">
        <f t="shared" si="109"/>
        <v>9.1983496509616209</v>
      </c>
      <c r="AI267" s="649">
        <f t="shared" si="110"/>
        <v>0.4709558928625196</v>
      </c>
      <c r="AJ267" s="1022">
        <f t="shared" si="111"/>
        <v>6.1885956753289655</v>
      </c>
      <c r="AK267" s="416">
        <f t="shared" si="96"/>
        <v>9.1983496509616209</v>
      </c>
      <c r="AL267" s="634">
        <f>IF(ISNA(VLOOKUP(K267,'Efficiency Lookup'!$D$2:$G$35,4,FALSE)),0,VLOOKUP(K267,'Efficiency Lookup'!$D$2:$G$35,4,FALSE))</f>
        <v>0.8</v>
      </c>
      <c r="AM267" s="139">
        <f t="shared" si="112"/>
        <v>534.60404845249229</v>
      </c>
      <c r="AN267" s="521">
        <f t="shared" si="113"/>
        <v>0.58862466154737758</v>
      </c>
      <c r="AO267" s="1005">
        <f t="shared" si="114"/>
        <v>393.35140885275769</v>
      </c>
      <c r="AP267" s="647">
        <f t="shared" si="115"/>
        <v>534.60404845249229</v>
      </c>
      <c r="AQ267" s="789">
        <f t="shared" si="116"/>
        <v>0.93039314845626597</v>
      </c>
      <c r="AR267" s="789">
        <f t="shared" si="117"/>
        <v>9.1983496509616209</v>
      </c>
      <c r="AS267" s="790">
        <f t="shared" si="118"/>
        <v>534.60404845249229</v>
      </c>
    </row>
    <row r="268" spans="1:45" ht="30" x14ac:dyDescent="0.25">
      <c r="A268" s="261" t="s">
        <v>723</v>
      </c>
      <c r="B268" s="510">
        <v>37.997084000000001</v>
      </c>
      <c r="C268" s="510">
        <v>-78.486810000000006</v>
      </c>
      <c r="D268" s="510" t="s">
        <v>296</v>
      </c>
      <c r="E268" s="511">
        <v>249.03</v>
      </c>
      <c r="F268" s="669">
        <v>38834</v>
      </c>
      <c r="G268" s="510" t="s">
        <v>281</v>
      </c>
      <c r="H268" s="511"/>
      <c r="I268" s="511"/>
      <c r="J268" s="511" t="s">
        <v>343</v>
      </c>
      <c r="K268" s="511" t="s">
        <v>315</v>
      </c>
      <c r="L268" s="261"/>
      <c r="M268" s="514">
        <f t="shared" si="97"/>
        <v>0.48156954647400002</v>
      </c>
      <c r="N268" s="672">
        <v>0.25490088263900001</v>
      </c>
      <c r="O268" s="514">
        <v>0.22666866383500001</v>
      </c>
      <c r="P268" s="514">
        <v>0</v>
      </c>
      <c r="Q268" s="673">
        <f t="shared" si="98"/>
        <v>0.52931271195480822</v>
      </c>
      <c r="R268" s="674">
        <f t="shared" si="99"/>
        <v>0.56195988536214003</v>
      </c>
      <c r="S268" s="674">
        <f t="shared" si="100"/>
        <v>6.8386332576880706</v>
      </c>
      <c r="T268" s="674">
        <f t="shared" si="101"/>
        <v>369.29869121481204</v>
      </c>
      <c r="U268" s="1022" t="s">
        <v>285</v>
      </c>
      <c r="V268" s="514">
        <v>1136.8517489999999</v>
      </c>
      <c r="W268" s="675">
        <f t="shared" si="102"/>
        <v>1.2286434505742385</v>
      </c>
      <c r="X268" s="634" t="str">
        <f t="shared" si="91"/>
        <v>NA</v>
      </c>
      <c r="Y268" s="676">
        <f t="shared" si="103"/>
        <v>0</v>
      </c>
      <c r="Z268" s="635">
        <f>IF(ISNA(VLOOKUP(J268,'Efficiency Lookup'!$B$2:$C$38,2,FALSE)),0,(VLOOKUP(J268,'Efficiency Lookup'!$B$2:$C$38,2,FALSE)))</f>
        <v>0.5</v>
      </c>
      <c r="AA268" s="139">
        <f t="shared" si="104"/>
        <v>0.28097994268107002</v>
      </c>
      <c r="AB268" s="640">
        <f>IF(ISNA(VLOOKUP(K268,'Efficiency Lookup'!$D$2:$E$35,2,FALSE)),0,VLOOKUP(K268,'Efficiency Lookup'!$D$2:$E$35,2,FALSE))</f>
        <v>0.75</v>
      </c>
      <c r="AC268" s="1022">
        <f t="shared" si="105"/>
        <v>0.42146991402160505</v>
      </c>
      <c r="AD268" s="637">
        <f t="shared" si="106"/>
        <v>0.73419245305446468</v>
      </c>
      <c r="AE268" s="139">
        <f t="shared" si="107"/>
        <v>0.41258670675223535</v>
      </c>
      <c r="AF268" s="516">
        <f t="shared" si="108"/>
        <v>0.42146991402160505</v>
      </c>
      <c r="AG268" s="636">
        <f>IF(ISNA(VLOOKUP(K268,'Efficiency Lookup'!$D$2:$G$35,3,FALSE)),0,VLOOKUP(K268,'Efficiency Lookup'!$D$2:$G$35,3,FALSE))</f>
        <v>0.7</v>
      </c>
      <c r="AH268" s="1022">
        <f t="shared" si="109"/>
        <v>4.7870432803816492</v>
      </c>
      <c r="AI268" s="637">
        <f t="shared" si="110"/>
        <v>0.62759604752593401</v>
      </c>
      <c r="AJ268" s="139">
        <f t="shared" si="111"/>
        <v>4.2918992030044354</v>
      </c>
      <c r="AK268" s="416">
        <f t="shared" si="96"/>
        <v>4.7870432803816492</v>
      </c>
      <c r="AL268" s="636">
        <f>IF(ISNA(VLOOKUP(K268,'Efficiency Lookup'!$D$2:$G$35,4,FALSE)),0,VLOOKUP(K268,'Efficiency Lookup'!$D$2:$G$35,4,FALSE))</f>
        <v>0.8</v>
      </c>
      <c r="AM268" s="1022">
        <f t="shared" si="112"/>
        <v>295.43895297184963</v>
      </c>
      <c r="AN268" s="637">
        <f t="shared" si="113"/>
        <v>0.78696752632650102</v>
      </c>
      <c r="AO268" s="139">
        <f t="shared" si="114"/>
        <v>290.62607750093497</v>
      </c>
      <c r="AP268" s="647">
        <f t="shared" si="115"/>
        <v>295.43895297184963</v>
      </c>
      <c r="AQ268" s="789">
        <f t="shared" si="116"/>
        <v>0.42146991402160505</v>
      </c>
      <c r="AR268" s="789">
        <f t="shared" si="117"/>
        <v>4.7870432803816492</v>
      </c>
      <c r="AS268" s="790">
        <f t="shared" si="118"/>
        <v>295.43895297184963</v>
      </c>
    </row>
    <row r="269" spans="1:45" ht="30" x14ac:dyDescent="0.25">
      <c r="A269" s="261" t="s">
        <v>723</v>
      </c>
      <c r="B269" s="510">
        <v>37.997267999999998</v>
      </c>
      <c r="C269" s="510">
        <v>-78.487298999999993</v>
      </c>
      <c r="D269" s="510" t="s">
        <v>296</v>
      </c>
      <c r="E269" s="511">
        <v>249.04</v>
      </c>
      <c r="F269" s="669">
        <v>38834</v>
      </c>
      <c r="G269" s="510" t="s">
        <v>281</v>
      </c>
      <c r="H269" s="511"/>
      <c r="I269" s="511"/>
      <c r="J269" s="511" t="s">
        <v>343</v>
      </c>
      <c r="K269" s="511" t="s">
        <v>315</v>
      </c>
      <c r="L269" s="261"/>
      <c r="M269" s="514">
        <f t="shared" si="97"/>
        <v>0.66089618065089994</v>
      </c>
      <c r="N269" s="672">
        <v>0.40620320635019996</v>
      </c>
      <c r="O269" s="514">
        <v>0.25469297430069998</v>
      </c>
      <c r="P269" s="514">
        <v>0</v>
      </c>
      <c r="Q269" s="673">
        <f t="shared" si="98"/>
        <v>0.6146248355530527</v>
      </c>
      <c r="R269" s="674">
        <f t="shared" si="99"/>
        <v>0.842264130326702</v>
      </c>
      <c r="S269" s="674">
        <f t="shared" si="100"/>
        <v>9.6462509680495003</v>
      </c>
      <c r="T269" s="674">
        <f t="shared" si="101"/>
        <v>508.15422297908663</v>
      </c>
      <c r="U269" s="1022" t="s">
        <v>285</v>
      </c>
      <c r="V269" s="514">
        <v>780.42618720000007</v>
      </c>
      <c r="W269" s="675">
        <f t="shared" si="102"/>
        <v>0.52927558581270218</v>
      </c>
      <c r="X269" s="634" t="str">
        <f t="shared" si="91"/>
        <v>NA</v>
      </c>
      <c r="Y269" s="676">
        <f t="shared" si="103"/>
        <v>0</v>
      </c>
      <c r="Z269" s="635">
        <f>IF(ISNA(VLOOKUP(J269,'Efficiency Lookup'!$B$2:$C$38,2,FALSE)),0,(VLOOKUP(J269,'Efficiency Lookup'!$B$2:$C$38,2,FALSE)))</f>
        <v>0.5</v>
      </c>
      <c r="AA269" s="139">
        <f t="shared" si="104"/>
        <v>0.421132065163351</v>
      </c>
      <c r="AB269" s="640">
        <f>IF(ISNA(VLOOKUP(K269,'Efficiency Lookup'!$D$2:$E$35,2,FALSE)),0,VLOOKUP(K269,'Efficiency Lookup'!$D$2:$E$35,2,FALSE))</f>
        <v>0.75</v>
      </c>
      <c r="AC269" s="1022">
        <f t="shared" si="105"/>
        <v>0.6316980977450265</v>
      </c>
      <c r="AD269" s="637">
        <f t="shared" si="106"/>
        <v>0.53935791306168523</v>
      </c>
      <c r="AE269" s="139">
        <f t="shared" si="107"/>
        <v>0.45428182357972524</v>
      </c>
      <c r="AF269" s="516">
        <f t="shared" si="108"/>
        <v>0.6316980977450265</v>
      </c>
      <c r="AG269" s="636">
        <f>IF(ISNA(VLOOKUP(K269,'Efficiency Lookup'!$D$2:$G$35,3,FALSE)),0,VLOOKUP(K269,'Efficiency Lookup'!$D$2:$G$35,3,FALSE))</f>
        <v>0.7</v>
      </c>
      <c r="AH269" s="1022">
        <f t="shared" si="109"/>
        <v>6.7523756776346495</v>
      </c>
      <c r="AI269" s="637">
        <f t="shared" si="110"/>
        <v>0.46244810079492948</v>
      </c>
      <c r="AJ269" s="139">
        <f t="shared" si="111"/>
        <v>4.4608904399657412</v>
      </c>
      <c r="AK269" s="416">
        <f t="shared" si="96"/>
        <v>6.7523756776346495</v>
      </c>
      <c r="AL269" s="641">
        <f>IF(ISNA(VLOOKUP(K269,'Efficiency Lookup'!$D$2:$G$35,4,FALSE)),0,VLOOKUP(K269,'Efficiency Lookup'!$D$2:$G$35,4,FALSE))</f>
        <v>0.8</v>
      </c>
      <c r="AM269" s="1022">
        <f t="shared" si="112"/>
        <v>406.52337838326935</v>
      </c>
      <c r="AN269" s="637">
        <f t="shared" si="113"/>
        <v>0.57789300983217462</v>
      </c>
      <c r="AO269" s="139">
        <f t="shared" si="114"/>
        <v>293.65877337631434</v>
      </c>
      <c r="AP269" s="647">
        <f t="shared" si="115"/>
        <v>406.52337838326935</v>
      </c>
      <c r="AQ269" s="789">
        <f t="shared" si="116"/>
        <v>0.6316980977450265</v>
      </c>
      <c r="AR269" s="789">
        <f t="shared" si="117"/>
        <v>6.7523756776346495</v>
      </c>
      <c r="AS269" s="790">
        <f t="shared" si="118"/>
        <v>406.52337838326935</v>
      </c>
    </row>
    <row r="270" spans="1:45" ht="30" x14ac:dyDescent="0.25">
      <c r="A270" s="261" t="s">
        <v>723</v>
      </c>
      <c r="B270" s="510">
        <v>37.997337999999999</v>
      </c>
      <c r="C270" s="510">
        <v>-78.487020000000001</v>
      </c>
      <c r="D270" s="510" t="s">
        <v>296</v>
      </c>
      <c r="E270" s="511">
        <v>249.05</v>
      </c>
      <c r="F270" s="669">
        <v>38834</v>
      </c>
      <c r="G270" s="510" t="s">
        <v>281</v>
      </c>
      <c r="H270" s="511"/>
      <c r="I270" s="511"/>
      <c r="J270" s="511" t="s">
        <v>343</v>
      </c>
      <c r="K270" s="511" t="s">
        <v>315</v>
      </c>
      <c r="L270" s="261"/>
      <c r="M270" s="514">
        <f t="shared" si="97"/>
        <v>1.1027350203417001</v>
      </c>
      <c r="N270" s="672">
        <v>0.63406246049619996</v>
      </c>
      <c r="O270" s="514">
        <v>0.39953190539900002</v>
      </c>
      <c r="P270" s="514">
        <v>6.9140654446499999E-2</v>
      </c>
      <c r="Q270" s="673">
        <f t="shared" si="98"/>
        <v>0.57499077185353697</v>
      </c>
      <c r="R270" s="674">
        <f t="shared" si="99"/>
        <v>1.3247041682508569</v>
      </c>
      <c r="S270" s="674">
        <f t="shared" si="100"/>
        <v>15.729673736618643</v>
      </c>
      <c r="T270" s="674">
        <f t="shared" si="101"/>
        <v>841.49225701684099</v>
      </c>
      <c r="U270" s="1022" t="s">
        <v>285</v>
      </c>
      <c r="V270" s="514">
        <v>3191.9249825100005</v>
      </c>
      <c r="W270" s="675">
        <f t="shared" si="102"/>
        <v>1.3868005626951478</v>
      </c>
      <c r="X270" s="634" t="str">
        <f t="shared" si="91"/>
        <v>NA</v>
      </c>
      <c r="Y270" s="676">
        <f t="shared" si="103"/>
        <v>0</v>
      </c>
      <c r="Z270" s="635">
        <f>IF(ISNA(VLOOKUP(J270,'Efficiency Lookup'!$B$2:$C$38,2,FALSE)),0,(VLOOKUP(J270,'Efficiency Lookup'!$B$2:$C$38,2,FALSE)))</f>
        <v>0.5</v>
      </c>
      <c r="AA270" s="139">
        <f t="shared" si="104"/>
        <v>0.66235208412542845</v>
      </c>
      <c r="AB270" s="635">
        <f>IF(ISNA(VLOOKUP(K270,'Efficiency Lookup'!$D$2:$E$35,2,FALSE)),0,VLOOKUP(K270,'Efficiency Lookup'!$D$2:$E$35,2,FALSE))</f>
        <v>0.75</v>
      </c>
      <c r="AC270" s="139">
        <f t="shared" si="105"/>
        <v>0.99352812618814268</v>
      </c>
      <c r="AD270" s="521">
        <f t="shared" si="106"/>
        <v>0.75090315855929302</v>
      </c>
      <c r="AE270" s="1022">
        <f t="shared" si="107"/>
        <v>0.99472454409622957</v>
      </c>
      <c r="AF270" s="516">
        <f t="shared" si="108"/>
        <v>0.99472454409622957</v>
      </c>
      <c r="AG270" s="634">
        <f>IF(ISNA(VLOOKUP(K270,'Efficiency Lookup'!$D$2:$G$35,3,FALSE)),0,VLOOKUP(K270,'Efficiency Lookup'!$D$2:$G$35,3,FALSE))</f>
        <v>0.7</v>
      </c>
      <c r="AH270" s="139">
        <f t="shared" si="109"/>
        <v>11.01077161563305</v>
      </c>
      <c r="AI270" s="521">
        <f t="shared" si="110"/>
        <v>0.64210562465759857</v>
      </c>
      <c r="AJ270" s="1005">
        <f t="shared" si="111"/>
        <v>10.100111980311736</v>
      </c>
      <c r="AK270" s="416">
        <f t="shared" si="96"/>
        <v>10.100111980311736</v>
      </c>
      <c r="AL270" s="634">
        <f>IF(ISNA(VLOOKUP(K270,'Efficiency Lookup'!$D$2:$G$35,4,FALSE)),0,VLOOKUP(K270,'Efficiency Lookup'!$D$2:$G$35,4,FALSE))</f>
        <v>0.8</v>
      </c>
      <c r="AM270" s="139">
        <f t="shared" si="112"/>
        <v>673.19380561347282</v>
      </c>
      <c r="AN270" s="521">
        <f t="shared" si="113"/>
        <v>0.80503641217676969</v>
      </c>
      <c r="AO270" s="1005">
        <f t="shared" si="114"/>
        <v>677.43190746336984</v>
      </c>
      <c r="AP270" s="647">
        <f t="shared" si="115"/>
        <v>677.43190746336984</v>
      </c>
      <c r="AQ270" s="789">
        <f t="shared" si="116"/>
        <v>0.99472454409622957</v>
      </c>
      <c r="AR270" s="789">
        <f t="shared" si="117"/>
        <v>10.100111980311736</v>
      </c>
      <c r="AS270" s="790">
        <f t="shared" si="118"/>
        <v>677.43190746336984</v>
      </c>
    </row>
    <row r="271" spans="1:45" ht="30" x14ac:dyDescent="0.25">
      <c r="A271" s="261" t="s">
        <v>723</v>
      </c>
      <c r="B271" s="510">
        <v>37.998244</v>
      </c>
      <c r="C271" s="510">
        <v>-78.487041000000005</v>
      </c>
      <c r="D271" s="510" t="s">
        <v>296</v>
      </c>
      <c r="E271" s="511">
        <v>249.06</v>
      </c>
      <c r="F271" s="669">
        <v>38834</v>
      </c>
      <c r="G271" s="510" t="s">
        <v>281</v>
      </c>
      <c r="H271" s="511"/>
      <c r="I271" s="511"/>
      <c r="J271" s="511" t="s">
        <v>343</v>
      </c>
      <c r="K271" s="511" t="s">
        <v>315</v>
      </c>
      <c r="L271" s="261"/>
      <c r="M271" s="514">
        <f t="shared" si="97"/>
        <v>4.6139934527488098</v>
      </c>
      <c r="N271" s="672">
        <v>2.443699581992</v>
      </c>
      <c r="O271" s="514">
        <v>1.5673742342058099</v>
      </c>
      <c r="P271" s="514">
        <v>0.602919636551</v>
      </c>
      <c r="Q271" s="673">
        <f t="shared" si="98"/>
        <v>0.52962788244446979</v>
      </c>
      <c r="R271" s="674">
        <f t="shared" si="99"/>
        <v>5.1629779341604554</v>
      </c>
      <c r="S271" s="674">
        <f t="shared" si="100"/>
        <v>64.105861792161122</v>
      </c>
      <c r="T271" s="674">
        <f t="shared" si="101"/>
        <v>3491.6892998943767</v>
      </c>
      <c r="U271" s="1022" t="s">
        <v>285</v>
      </c>
      <c r="V271" s="514">
        <v>530.00020458000006</v>
      </c>
      <c r="W271" s="675">
        <f t="shared" si="102"/>
        <v>5.9747755851798472E-2</v>
      </c>
      <c r="X271" s="634" t="str">
        <f t="shared" si="91"/>
        <v>NA</v>
      </c>
      <c r="Y271" s="676">
        <f t="shared" si="103"/>
        <v>0</v>
      </c>
      <c r="Z271" s="635">
        <f>IF(ISNA(VLOOKUP(J271,'Efficiency Lookup'!$B$2:$C$38,2,FALSE)),0,(VLOOKUP(J271,'Efficiency Lookup'!$B$2:$C$38,2,FALSE)))</f>
        <v>0.5</v>
      </c>
      <c r="AA271" s="139">
        <f t="shared" si="104"/>
        <v>2.5814889670802277</v>
      </c>
      <c r="AB271" s="640">
        <f>IF(ISNA(VLOOKUP(K271,'Efficiency Lookup'!$D$2:$E$35,2,FALSE)),0,VLOOKUP(K271,'Efficiency Lookup'!$D$2:$E$35,2,FALSE))</f>
        <v>0.75</v>
      </c>
      <c r="AC271" s="1022">
        <f t="shared" si="105"/>
        <v>3.8722334506203415</v>
      </c>
      <c r="AD271" s="637">
        <f t="shared" si="106"/>
        <v>8.7082984123426965E-2</v>
      </c>
      <c r="AE271" s="139">
        <f t="shared" si="107"/>
        <v>0.44960752547009869</v>
      </c>
      <c r="AF271" s="516">
        <f t="shared" si="108"/>
        <v>3.8722334506203415</v>
      </c>
      <c r="AG271" s="636">
        <f>IF(ISNA(VLOOKUP(K271,'Efficiency Lookup'!$D$2:$G$35,3,FALSE)),0,VLOOKUP(K271,'Efficiency Lookup'!$D$2:$G$35,3,FALSE))</f>
        <v>0.7</v>
      </c>
      <c r="AH271" s="1022">
        <f t="shared" si="109"/>
        <v>44.874103254512782</v>
      </c>
      <c r="AI271" s="637">
        <f t="shared" si="110"/>
        <v>7.1405861653372399E-2</v>
      </c>
      <c r="AJ271" s="139">
        <f t="shared" si="111"/>
        <v>4.577534298301269</v>
      </c>
      <c r="AK271" s="416">
        <f t="shared" si="96"/>
        <v>44.874103254512782</v>
      </c>
      <c r="AL271" s="641">
        <f>IF(ISNA(VLOOKUP(K271,'Efficiency Lookup'!$D$2:$G$35,4,FALSE)),0,VLOOKUP(K271,'Efficiency Lookup'!$D$2:$G$35,4,FALSE))</f>
        <v>0.8</v>
      </c>
      <c r="AM271" s="1022">
        <f t="shared" si="112"/>
        <v>2793.3514399155015</v>
      </c>
      <c r="AN271" s="637">
        <f t="shared" si="113"/>
        <v>9.3256854743454423E-2</v>
      </c>
      <c r="AO271" s="139">
        <f t="shared" si="114"/>
        <v>325.62396184952394</v>
      </c>
      <c r="AP271" s="647">
        <f t="shared" si="115"/>
        <v>2793.3514399155015</v>
      </c>
      <c r="AQ271" s="789">
        <f t="shared" si="116"/>
        <v>3.8722334506203415</v>
      </c>
      <c r="AR271" s="789">
        <f t="shared" si="117"/>
        <v>44.874103254512782</v>
      </c>
      <c r="AS271" s="790">
        <f t="shared" si="118"/>
        <v>2793.3514399155015</v>
      </c>
    </row>
    <row r="272" spans="1:45" x14ac:dyDescent="0.25">
      <c r="A272" s="261" t="s">
        <v>723</v>
      </c>
      <c r="B272" s="510">
        <v>37.996752999999998</v>
      </c>
      <c r="C272" s="510">
        <v>-78.487645999999998</v>
      </c>
      <c r="D272" s="510" t="s">
        <v>296</v>
      </c>
      <c r="E272" s="511">
        <v>249.07</v>
      </c>
      <c r="F272" s="669">
        <v>38834</v>
      </c>
      <c r="G272" s="510" t="s">
        <v>331</v>
      </c>
      <c r="H272" s="511"/>
      <c r="I272" s="511"/>
      <c r="J272" s="511" t="s">
        <v>367</v>
      </c>
      <c r="K272" s="511" t="s">
        <v>334</v>
      </c>
      <c r="L272" s="261" t="s">
        <v>292</v>
      </c>
      <c r="M272" s="514">
        <f t="shared" si="97"/>
        <v>0.44322443637199999</v>
      </c>
      <c r="N272" s="672">
        <v>0.27303034873199999</v>
      </c>
      <c r="O272" s="514">
        <v>0.17019408763999999</v>
      </c>
      <c r="P272" s="514">
        <v>0</v>
      </c>
      <c r="Q272" s="673">
        <f t="shared" si="98"/>
        <v>0.61600924120267719</v>
      </c>
      <c r="R272" s="674">
        <f t="shared" si="99"/>
        <v>0.56563045758831998</v>
      </c>
      <c r="S272" s="674">
        <f t="shared" si="100"/>
        <v>6.4720176420001607</v>
      </c>
      <c r="T272" s="674">
        <f t="shared" si="101"/>
        <v>340.80387610907547</v>
      </c>
      <c r="U272" s="1022" t="s">
        <v>285</v>
      </c>
      <c r="V272" s="514" t="s">
        <v>295</v>
      </c>
      <c r="W272" s="675">
        <f t="shared" si="102"/>
        <v>0</v>
      </c>
      <c r="X272" s="634" t="str">
        <f t="shared" si="91"/>
        <v>NA</v>
      </c>
      <c r="Y272" s="676">
        <f t="shared" si="103"/>
        <v>0</v>
      </c>
      <c r="Z272" s="635">
        <f>IF(ISNA(VLOOKUP(J272,'Efficiency Lookup'!$B$2:$C$38,2,FALSE)),0,(VLOOKUP(J272,'Efficiency Lookup'!$B$2:$C$38,2,FALSE)))</f>
        <v>0.35</v>
      </c>
      <c r="AA272" s="139">
        <f t="shared" si="104"/>
        <v>0.19797066015591197</v>
      </c>
      <c r="AB272" s="640">
        <f>IF(ISNA(VLOOKUP(K272,'Efficiency Lookup'!$D$2:$E$35,2,FALSE)),0,VLOOKUP(K272,'Efficiency Lookup'!$D$2:$E$35,2,FALSE))</f>
        <v>0.75</v>
      </c>
      <c r="AC272" s="1022">
        <f t="shared" si="105"/>
        <v>0.42422284319123998</v>
      </c>
      <c r="AD272" s="637">
        <f t="shared" si="106"/>
        <v>0</v>
      </c>
      <c r="AE272" s="139">
        <f t="shared" si="107"/>
        <v>0</v>
      </c>
      <c r="AF272" s="516">
        <f t="shared" si="108"/>
        <v>0.42422284319123998</v>
      </c>
      <c r="AG272" s="636">
        <f>IF(ISNA(VLOOKUP(K272,'Efficiency Lookup'!$D$2:$G$35,3,FALSE)),0,VLOOKUP(K272,'Efficiency Lookup'!$D$2:$G$35,3,FALSE))</f>
        <v>0.7</v>
      </c>
      <c r="AH272" s="1022">
        <f t="shared" si="109"/>
        <v>4.5304123494001125</v>
      </c>
      <c r="AI272" s="637">
        <f t="shared" si="110"/>
        <v>0</v>
      </c>
      <c r="AJ272" s="139">
        <f t="shared" si="111"/>
        <v>0</v>
      </c>
      <c r="AK272" s="416">
        <f t="shared" si="96"/>
        <v>4.5304123494001125</v>
      </c>
      <c r="AL272" s="641">
        <f>IF(ISNA(VLOOKUP(K272,'Efficiency Lookup'!$D$2:$G$35,4,FALSE)),0,VLOOKUP(K272,'Efficiency Lookup'!$D$2:$G$35,4,FALSE))</f>
        <v>0.8</v>
      </c>
      <c r="AM272" s="1022">
        <f t="shared" si="112"/>
        <v>272.6431008872604</v>
      </c>
      <c r="AN272" s="637">
        <f t="shared" si="113"/>
        <v>0</v>
      </c>
      <c r="AO272" s="139">
        <f t="shared" si="114"/>
        <v>0</v>
      </c>
      <c r="AP272" s="647">
        <f t="shared" si="115"/>
        <v>272.6431008872604</v>
      </c>
      <c r="AQ272" s="789">
        <f t="shared" si="116"/>
        <v>0.42422284319123998</v>
      </c>
      <c r="AR272" s="789">
        <f t="shared" si="117"/>
        <v>4.5304123494001125</v>
      </c>
      <c r="AS272" s="790">
        <f t="shared" si="118"/>
        <v>272.6431008872604</v>
      </c>
    </row>
    <row r="273" spans="1:45" ht="27" customHeight="1" x14ac:dyDescent="0.25">
      <c r="A273" s="261" t="s">
        <v>723</v>
      </c>
      <c r="B273" s="510">
        <v>37.996147000000001</v>
      </c>
      <c r="C273" s="510">
        <v>-78.487022999999994</v>
      </c>
      <c r="D273" s="510" t="s">
        <v>286</v>
      </c>
      <c r="E273" s="511">
        <v>249.08</v>
      </c>
      <c r="F273" s="669">
        <v>38834</v>
      </c>
      <c r="G273" s="510" t="s">
        <v>274</v>
      </c>
      <c r="H273" s="511" t="s">
        <v>724</v>
      </c>
      <c r="I273" s="511"/>
      <c r="J273" s="511" t="s">
        <v>530</v>
      </c>
      <c r="K273" s="511" t="s">
        <v>277</v>
      </c>
      <c r="L273" s="261"/>
      <c r="M273" s="514">
        <f>N273+O273+P273</f>
        <v>17.890809712052409</v>
      </c>
      <c r="N273" s="672">
        <v>8.1783634083347998</v>
      </c>
      <c r="O273" s="514">
        <v>7.9482322693401093</v>
      </c>
      <c r="P273" s="514">
        <v>1.7642140343774999</v>
      </c>
      <c r="Q273" s="673">
        <f t="shared" si="98"/>
        <v>0.45712651020067158</v>
      </c>
      <c r="R273" s="674">
        <f>IF(L272="TT",(1.76*N273+0.5*O273+0.13*P273)-SUM(AF266:AF272),1.76*N273+0.5*O273+0.13*P273)</f>
        <v>9.4906019450649293</v>
      </c>
      <c r="S273" s="674">
        <f>IF(L272="TT",(M273*9.39+N273*6.99+O273*2.36)-SUM(AK266:AK272),M273*9.39+N273*6.99+O273*2.36)</f>
        <v>143.20133359887237</v>
      </c>
      <c r="T273" s="674">
        <f>IF(L272="TT",(M273*676.94+N273*101.08+O273*77.38)-SUM(AP266:AP272),M273*676.94+N273*101.08+O273*77.38)</f>
        <v>7317.0776812406311</v>
      </c>
      <c r="U273" s="1022" t="s">
        <v>278</v>
      </c>
      <c r="V273" s="514">
        <v>72571.090680000008</v>
      </c>
      <c r="W273" s="675">
        <f t="shared" si="102"/>
        <v>2.4445032583934281</v>
      </c>
      <c r="X273" s="634" t="str">
        <f t="shared" ref="X273:X336" si="119">IF(W273="","",IF(I273="Filterra",0.5,IF(I273="Stormfilter",0.45,"NA")))</f>
        <v>NA</v>
      </c>
      <c r="Y273" s="676">
        <f t="shared" si="103"/>
        <v>0</v>
      </c>
      <c r="Z273" s="635">
        <f>IF(ISNA(VLOOKUP(J273,'Efficiency Lookup'!$B$2:$C$38,2,FALSE)),0,(VLOOKUP(J273,'Efficiency Lookup'!$B$2:$C$38,2,FALSE)))</f>
        <v>0.4</v>
      </c>
      <c r="AA273" s="139">
        <f t="shared" si="104"/>
        <v>3.7962407780259717</v>
      </c>
      <c r="AB273" s="635">
        <f>IF(ISNA(VLOOKUP(K273,'Efficiency Lookup'!$D$2:$E$35,2,FALSE)),0,VLOOKUP(K273,'Efficiency Lookup'!$D$2:$E$35,2,FALSE))</f>
        <v>0.45</v>
      </c>
      <c r="AC273" s="139">
        <f t="shared" si="105"/>
        <v>4.2707708752792186</v>
      </c>
      <c r="AD273" s="649">
        <f t="shared" si="106"/>
        <v>0.61864272222280203</v>
      </c>
      <c r="AE273" s="1022">
        <f t="shared" si="107"/>
        <v>5.8712918228279873</v>
      </c>
      <c r="AF273" s="516">
        <f t="shared" si="108"/>
        <v>5.8712918228279873</v>
      </c>
      <c r="AG273" s="634">
        <f>IF(ISNA(VLOOKUP(K273,'Efficiency Lookup'!$D$2:$G$35,3,FALSE)),0,VLOOKUP(K273,'Efficiency Lookup'!$D$2:$G$35,3,FALSE))</f>
        <v>0.2</v>
      </c>
      <c r="AH273" s="139">
        <f t="shared" si="109"/>
        <v>28.640266719774473</v>
      </c>
      <c r="AI273" s="649">
        <f t="shared" si="110"/>
        <v>0.39246270583902815</v>
      </c>
      <c r="AJ273" s="1022">
        <f t="shared" si="111"/>
        <v>56.201182863970786</v>
      </c>
      <c r="AK273" s="416">
        <f t="shared" si="96"/>
        <v>56.201182863970786</v>
      </c>
      <c r="AL273" s="634">
        <f>IF(ISNA(VLOOKUP(K273,'Efficiency Lookup'!$D$2:$G$35,4,FALSE)),0,VLOOKUP(K273,'Efficiency Lookup'!$D$2:$G$35,4,FALSE))</f>
        <v>0.6</v>
      </c>
      <c r="AM273" s="139">
        <f t="shared" si="112"/>
        <v>4390.2466087443781</v>
      </c>
      <c r="AN273" s="649">
        <f t="shared" si="113"/>
        <v>0.78653789059766421</v>
      </c>
      <c r="AO273" s="1022">
        <f t="shared" si="114"/>
        <v>5755.1588447422537</v>
      </c>
      <c r="AP273" s="647">
        <f t="shared" si="115"/>
        <v>5755.1588447422537</v>
      </c>
      <c r="AQ273" s="789">
        <f t="shared" si="116"/>
        <v>5.8712918228279873</v>
      </c>
      <c r="AR273" s="789">
        <f t="shared" si="117"/>
        <v>56.201182863970786</v>
      </c>
      <c r="AS273" s="790">
        <f t="shared" si="118"/>
        <v>5755.1588447422537</v>
      </c>
    </row>
    <row r="274" spans="1:45" x14ac:dyDescent="0.25">
      <c r="A274" s="261"/>
      <c r="B274" s="510" t="s">
        <v>297</v>
      </c>
      <c r="C274" s="510" t="s">
        <v>297</v>
      </c>
      <c r="D274" s="510" t="s">
        <v>297</v>
      </c>
      <c r="E274" s="511"/>
      <c r="F274" s="705"/>
      <c r="G274" s="510"/>
      <c r="H274" s="511"/>
      <c r="I274" s="261" t="str">
        <f>IF(G274="","",IF(G274="Proprietary","Filterra","Clearinghouse Not Used"))</f>
        <v/>
      </c>
      <c r="J274" s="511"/>
      <c r="K274" s="511"/>
      <c r="L274" s="510"/>
      <c r="M274" s="510"/>
      <c r="N274" s="672"/>
      <c r="O274" s="514"/>
      <c r="P274" s="514" t="s">
        <v>297</v>
      </c>
      <c r="Q274" s="688"/>
      <c r="R274" s="674"/>
      <c r="S274" s="674"/>
      <c r="T274" s="674"/>
      <c r="U274" s="1022"/>
      <c r="V274" s="514"/>
      <c r="W274" s="675"/>
      <c r="X274" s="636" t="str">
        <f t="shared" si="119"/>
        <v/>
      </c>
      <c r="Y274" s="706"/>
      <c r="Z274" s="640"/>
      <c r="AA274" s="1022"/>
      <c r="AB274" s="637"/>
      <c r="AC274" s="637"/>
      <c r="AD274" s="637"/>
      <c r="AE274" s="139"/>
      <c r="AF274" s="642"/>
      <c r="AG274" s="583"/>
      <c r="AH274" s="139"/>
      <c r="AI274" s="637"/>
      <c r="AJ274" s="139"/>
      <c r="AK274" s="416" t="str">
        <f t="shared" si="96"/>
        <v/>
      </c>
      <c r="AL274" s="642"/>
      <c r="AM274" s="637"/>
      <c r="AN274" s="637"/>
      <c r="AO274" s="139"/>
      <c r="AP274" s="647"/>
      <c r="AQ274" s="789"/>
      <c r="AR274" s="789"/>
      <c r="AS274" s="790"/>
    </row>
    <row r="275" spans="1:45" x14ac:dyDescent="0.25">
      <c r="A275" s="628"/>
      <c r="B275" s="668" t="s">
        <v>297</v>
      </c>
      <c r="C275" s="668" t="s">
        <v>297</v>
      </c>
      <c r="D275" s="668" t="s">
        <v>297</v>
      </c>
      <c r="E275" s="710"/>
      <c r="F275" s="711"/>
      <c r="G275" s="668"/>
      <c r="H275" s="712"/>
      <c r="I275" s="712" t="str">
        <f>IF(G275="","",IF(G275="Proprietary","Filterra","Clearinghouse Not Used"))</f>
        <v/>
      </c>
      <c r="J275" s="712"/>
      <c r="K275" s="712"/>
      <c r="L275" s="712"/>
      <c r="M275" s="712"/>
      <c r="N275" s="712"/>
      <c r="O275" s="712"/>
      <c r="P275" s="712"/>
      <c r="Q275" s="712"/>
      <c r="R275" s="712"/>
      <c r="S275" s="712"/>
      <c r="T275" s="712"/>
      <c r="U275" s="712"/>
      <c r="V275" s="712"/>
      <c r="W275" s="712"/>
      <c r="X275" s="760" t="str">
        <f t="shared" si="119"/>
        <v/>
      </c>
      <c r="Y275" s="713"/>
      <c r="Z275" s="712"/>
      <c r="AA275" s="712"/>
      <c r="AB275" s="638"/>
      <c r="AC275" s="638"/>
      <c r="AD275" s="638"/>
      <c r="AE275" s="629"/>
      <c r="AF275" s="666"/>
      <c r="AG275" s="666"/>
      <c r="AH275" s="629"/>
      <c r="AI275" s="638"/>
      <c r="AJ275" s="629"/>
      <c r="AK275" s="639" t="str">
        <f t="shared" si="96"/>
        <v/>
      </c>
      <c r="AL275" s="644"/>
      <c r="AM275" s="638"/>
      <c r="AN275" s="638"/>
      <c r="AO275" s="629"/>
      <c r="AP275" s="648"/>
      <c r="AQ275" s="791"/>
      <c r="AR275" s="791"/>
      <c r="AS275" s="792"/>
    </row>
    <row r="276" spans="1:45" ht="14.45" customHeight="1" x14ac:dyDescent="0.25">
      <c r="A276" s="261"/>
      <c r="B276" s="510" t="s">
        <v>297</v>
      </c>
      <c r="C276" s="510" t="s">
        <v>297</v>
      </c>
      <c r="D276" s="510" t="s">
        <v>297</v>
      </c>
      <c r="E276" s="704"/>
      <c r="F276" s="705"/>
      <c r="G276" s="510"/>
      <c r="H276" s="511"/>
      <c r="I276" s="261" t="str">
        <f>IF(G276="","",IF(G276="Proprietary","Filterra","Clearinghouse Not Used"))</f>
        <v/>
      </c>
      <c r="J276" s="511"/>
      <c r="K276" s="511"/>
      <c r="L276" s="510"/>
      <c r="M276" s="510"/>
      <c r="N276" s="672"/>
      <c r="O276" s="514"/>
      <c r="P276" s="514" t="s">
        <v>297</v>
      </c>
      <c r="Q276" s="688"/>
      <c r="R276" s="674"/>
      <c r="S276" s="674"/>
      <c r="T276" s="674"/>
      <c r="U276" s="1022"/>
      <c r="V276" s="514"/>
      <c r="W276" s="675"/>
      <c r="X276" s="636" t="str">
        <f t="shared" si="119"/>
        <v/>
      </c>
      <c r="Y276" s="706"/>
      <c r="Z276" s="640"/>
      <c r="AA276" s="1022"/>
      <c r="AB276" s="637"/>
      <c r="AC276" s="637"/>
      <c r="AD276" s="637"/>
      <c r="AE276" s="139"/>
      <c r="AF276" s="642"/>
      <c r="AG276" s="583"/>
      <c r="AH276" s="139"/>
      <c r="AI276" s="637"/>
      <c r="AJ276" s="139"/>
      <c r="AK276" s="416" t="str">
        <f t="shared" si="96"/>
        <v/>
      </c>
      <c r="AL276" s="642"/>
      <c r="AM276" s="637"/>
      <c r="AN276" s="637"/>
      <c r="AO276" s="139"/>
      <c r="AP276" s="647"/>
      <c r="AQ276" s="789"/>
      <c r="AR276" s="789"/>
      <c r="AS276" s="790"/>
    </row>
    <row r="277" spans="1:45" ht="30" x14ac:dyDescent="0.25">
      <c r="A277" s="261" t="s">
        <v>725</v>
      </c>
      <c r="B277" s="510">
        <v>38.112015</v>
      </c>
      <c r="C277" s="510">
        <v>-78.440326999999996</v>
      </c>
      <c r="D277" s="510" t="s">
        <v>286</v>
      </c>
      <c r="E277" s="511">
        <v>39.020000000000003</v>
      </c>
      <c r="F277" s="669">
        <v>41044</v>
      </c>
      <c r="G277" s="510" t="s">
        <v>281</v>
      </c>
      <c r="H277" s="670"/>
      <c r="I277" s="511"/>
      <c r="J277" s="511" t="s">
        <v>343</v>
      </c>
      <c r="K277" s="511" t="s">
        <v>284</v>
      </c>
      <c r="L277" s="671"/>
      <c r="M277" s="671">
        <f>N277+O277+P277</f>
        <v>0.65811707573510003</v>
      </c>
      <c r="N277" s="672">
        <v>0.2469699032181</v>
      </c>
      <c r="O277" s="514">
        <v>0.37373952526900001</v>
      </c>
      <c r="P277" s="514">
        <v>3.7407647247999998E-2</v>
      </c>
      <c r="Q277" s="673">
        <f>+N277/M277</f>
        <v>0.37526742934338986</v>
      </c>
      <c r="R277" s="674">
        <f>IF(L276="TT",(1.76*N277+0.5*O277+0.13*P277)-AF276,1.76*N277+0.5*O277+0.13*P277)</f>
        <v>0.62639978644059602</v>
      </c>
      <c r="S277" s="674">
        <f>IF(L276="TT",(M277*9.39+N277*6.99+O277*2.36)-AK276,M277*9.39+N277*6.99+O277*2.36)</f>
        <v>8.7880642442819479</v>
      </c>
      <c r="T277" s="674">
        <f>IF(L276="TT",(M277*676.94+N277*101.08+O277*77.38)-AP276,M277*676.94+N277*101.08+O277*77.38)</f>
        <v>499.38945553071943</v>
      </c>
      <c r="U277" s="1022"/>
      <c r="V277" s="514" t="s">
        <v>295</v>
      </c>
      <c r="W277" s="675">
        <f>IF(V277="NA", 0, (V277)*12/N277/43560)</f>
        <v>0</v>
      </c>
      <c r="X277" s="634" t="str">
        <f t="shared" si="119"/>
        <v>NA</v>
      </c>
      <c r="Y277" s="676">
        <f>IF(X277="NA",0,R277*X277)</f>
        <v>0</v>
      </c>
      <c r="Z277" s="1061">
        <f>IF(ISNA(VLOOKUP(J277,'Efficiency Lookup'!$B$2:$C$38,2,FALSE)),0,(VLOOKUP(J277,'Efficiency Lookup'!$B$2:$C$38,2,FALSE)))</f>
        <v>0.5</v>
      </c>
      <c r="AA277" s="1005">
        <f>R277*Z277</f>
        <v>0.31319989322029801</v>
      </c>
      <c r="AB277" s="635">
        <f>IF(ISNA(VLOOKUP(K277,'Efficiency Lookup'!$D$2:$E$35,2,FALSE)),0,VLOOKUP(K277,'Efficiency Lookup'!$D$2:$E$35,2,FALSE))</f>
        <v>0.45</v>
      </c>
      <c r="AC277" s="139">
        <f>R277*AB277</f>
        <v>0.28187990389826822</v>
      </c>
      <c r="AD277" s="637">
        <f>IF(U277="RR",IF((0.0304*(W277^5)-0.2619*(W277^4)+0.9161*(W277^3)-1.6837*(W277^2)+1.7072*W277-0.0091)&gt;0.85,0.85,IF((0.0304*(W277^5)-0.2619*(W277^4)+0.9161*(W277^3)-1.6837*(W277^2)+1.7072*W277-0.0091)&lt;0,0,(0.0304*(W277^5)-0.2619*(W277^4)+0.9161*(W277^3)-1.6837*(W277^2)+1.7072*W277-0.0091))),IF((0.0239*(W277^5)-0.2058*(W277^4)+0.7198*(W277^3)-1.3229*(W277^2)+1.3414*W277-0.0072)&gt;0.65,0.65,IF((0.0239*(W277^5)-0.2058*(W277^4)+0.7198*(W277^3)-1.3229*(W277^2)+1.3414*W277-0.0072)&lt;0,0,(0.0239*(W277^5)-0.2058*(W277^4)+0.7198*(W277^3)-1.3229*(W277^2)+1.3414*W277-0.0072))))</f>
        <v>0</v>
      </c>
      <c r="AE277" s="139">
        <f>R277*AD277</f>
        <v>0</v>
      </c>
      <c r="AF277" s="516">
        <f>MAX(Y277,AA277,AC277,AE277)</f>
        <v>0.31319989322029801</v>
      </c>
      <c r="AG277" s="641">
        <f>IF(ISNA(VLOOKUP(K277,'Efficiency Lookup'!$D$2:$G$35,3,FALSE)),0,VLOOKUP(K277,'Efficiency Lookup'!$D$2:$G$35,3,FALSE))</f>
        <v>0.25</v>
      </c>
      <c r="AH277" s="1005">
        <f>S277*AG277</f>
        <v>2.197016061070487</v>
      </c>
      <c r="AI277" s="637">
        <f>IF(U277="RR",IF((0.0308*(W277^5)-0.2562*(W277^4)+0.8634*(W277^3)-1.5285*(W277^2)+1.501*W277-0.013)&gt;0.7,0.7,IF((0.0308*(W277^5)-0.2562*(W277^4)+0.8634*(W277^3)-1.5285*(W277^2)+1.501*W277-0.013)&lt;0,0,(0.0308*(W277^5)-0.2562*(W277^4)+0.8634*(W277^3)-1.5285*(W277^2)+1.501*W277-0.013))),IF((0.0152*(W277^5)-0.131*(W277^4)+0.4581*(W277^3)-0.8418*(W277^2)+0.8536*W277-0.0046)&gt;0.65,0.65,IF((0.0152*(W277^5)-0.131*(W277^4)+0.4581*(W277^3)-0.8418*(W277^2)+0.8536*W277-0.0046)&lt;0,0,(0.0152*(W277^5)-0.131*(W277^4)+0.4581*(W277^3)-0.8418*(W277^2)+0.8536*W277-0.0046))))</f>
        <v>0</v>
      </c>
      <c r="AJ277" s="139">
        <f>S277*AI277</f>
        <v>0</v>
      </c>
      <c r="AK277" s="416">
        <f t="shared" si="96"/>
        <v>2.197016061070487</v>
      </c>
      <c r="AL277" s="641">
        <f>IF(ISNA(VLOOKUP(K277,'Efficiency Lookup'!$D$2:$G$35,4,FALSE)),0,VLOOKUP(K277,'Efficiency Lookup'!$D$2:$G$35,4,FALSE))</f>
        <v>0.55000000000000004</v>
      </c>
      <c r="AM277" s="1005">
        <f>T277*AL277</f>
        <v>274.6642005418957</v>
      </c>
      <c r="AN277" s="637">
        <f>IF(U277="RR",IF((0.0326*(W277^5)-0.2806*(W277^4)+0.9816*(W277^3)-1.8039*(W277^2)+1.8292*W277-0.0098)&gt;0.85,0.85,IF((0.0326*(W277^5)-0.2806*(W277^4)+0.9816*(W277^3)-1.8039*(W277^2)+1.8292*W277-0.0098)&lt;0,0,(0.0326*(W277^5)-0.2806*(W277^4)+0.9816*(W277^3)-1.8039*(W277^2)+1.8292*W277-0.0098))),IF((0.0304*(W277^5)-0.2619*(W277^4)+0.9161*(W277^3)-1.6837*(W277^2)+1.7072*W277-0.0091)&gt;0.8,0.8,IF((0.0304*(W277^5)-0.2619*(W277^4)+0.9161*(W277^3)-1.6837*(W277^2)+1.7072*W277-0.0091)&lt;0,0,(0.0304*(W277^5)-0.2619*(W277^4)+0.9161*(W277^3)-1.6837*(W277^2)+1.7072*W277-0.0091))))</f>
        <v>0</v>
      </c>
      <c r="AO277" s="139">
        <f>T277*AN277</f>
        <v>0</v>
      </c>
      <c r="AP277" s="647">
        <f>IF(AK277=AH277,AM277,AO277)</f>
        <v>274.6642005418957</v>
      </c>
      <c r="AQ277" s="789">
        <f>IF(AF277&lt;0,0,AF277)</f>
        <v>0.31319989322029801</v>
      </c>
      <c r="AR277" s="789">
        <f>IF(AK277&lt;0,0,AK277)</f>
        <v>2.197016061070487</v>
      </c>
      <c r="AS277" s="790">
        <f>IF(AP277&lt;0,0,AP277)</f>
        <v>274.6642005418957</v>
      </c>
    </row>
    <row r="278" spans="1:45" x14ac:dyDescent="0.25">
      <c r="A278" s="261"/>
      <c r="B278" s="510" t="s">
        <v>297</v>
      </c>
      <c r="C278" s="510" t="s">
        <v>297</v>
      </c>
      <c r="D278" s="510" t="s">
        <v>297</v>
      </c>
      <c r="E278" s="511"/>
      <c r="F278" s="705"/>
      <c r="G278" s="510"/>
      <c r="H278" s="511"/>
      <c r="I278" s="261" t="str">
        <f>IF(G278="","",IF(G278="Proprietary","Filterra","Clearinghouse Not Used"))</f>
        <v/>
      </c>
      <c r="J278" s="511"/>
      <c r="K278" s="511"/>
      <c r="L278" s="510"/>
      <c r="M278" s="510"/>
      <c r="N278" s="672"/>
      <c r="O278" s="514"/>
      <c r="P278" s="514" t="s">
        <v>297</v>
      </c>
      <c r="Q278" s="688"/>
      <c r="R278" s="674"/>
      <c r="S278" s="674"/>
      <c r="T278" s="674"/>
      <c r="U278" s="1022"/>
      <c r="V278" s="514"/>
      <c r="W278" s="675"/>
      <c r="X278" s="636" t="str">
        <f t="shared" si="119"/>
        <v/>
      </c>
      <c r="Y278" s="706"/>
      <c r="Z278" s="640"/>
      <c r="AA278" s="1022"/>
      <c r="AB278" s="637"/>
      <c r="AC278" s="637"/>
      <c r="AD278" s="637"/>
      <c r="AE278" s="139"/>
      <c r="AF278" s="642"/>
      <c r="AG278" s="583"/>
      <c r="AH278" s="139"/>
      <c r="AI278" s="637"/>
      <c r="AJ278" s="139"/>
      <c r="AK278" s="416" t="str">
        <f t="shared" si="96"/>
        <v/>
      </c>
      <c r="AL278" s="642"/>
      <c r="AM278" s="637"/>
      <c r="AN278" s="637"/>
      <c r="AO278" s="139"/>
      <c r="AP278" s="647"/>
      <c r="AQ278" s="789"/>
      <c r="AR278" s="789"/>
      <c r="AS278" s="790"/>
    </row>
    <row r="279" spans="1:45" x14ac:dyDescent="0.25">
      <c r="A279" s="628"/>
      <c r="B279" s="668" t="s">
        <v>297</v>
      </c>
      <c r="C279" s="668" t="s">
        <v>297</v>
      </c>
      <c r="D279" s="668" t="s">
        <v>297</v>
      </c>
      <c r="E279" s="710"/>
      <c r="F279" s="711"/>
      <c r="G279" s="668"/>
      <c r="H279" s="712"/>
      <c r="I279" s="712" t="str">
        <f>IF(G279="","",IF(G279="Proprietary","Filterra","Clearinghouse Not Used"))</f>
        <v/>
      </c>
      <c r="J279" s="712"/>
      <c r="K279" s="712"/>
      <c r="L279" s="712"/>
      <c r="M279" s="712"/>
      <c r="N279" s="712"/>
      <c r="O279" s="712"/>
      <c r="P279" s="712"/>
      <c r="Q279" s="712"/>
      <c r="R279" s="712"/>
      <c r="S279" s="712"/>
      <c r="T279" s="712"/>
      <c r="U279" s="712"/>
      <c r="V279" s="712"/>
      <c r="W279" s="712"/>
      <c r="X279" s="760" t="str">
        <f t="shared" si="119"/>
        <v/>
      </c>
      <c r="Y279" s="713"/>
      <c r="Z279" s="712"/>
      <c r="AA279" s="712"/>
      <c r="AB279" s="638"/>
      <c r="AC279" s="638"/>
      <c r="AD279" s="638"/>
      <c r="AE279" s="629"/>
      <c r="AF279" s="666"/>
      <c r="AG279" s="666"/>
      <c r="AH279" s="629"/>
      <c r="AI279" s="638"/>
      <c r="AJ279" s="629"/>
      <c r="AK279" s="639" t="str">
        <f t="shared" si="96"/>
        <v/>
      </c>
      <c r="AL279" s="644"/>
      <c r="AM279" s="638"/>
      <c r="AN279" s="638"/>
      <c r="AO279" s="629"/>
      <c r="AP279" s="648"/>
      <c r="AQ279" s="791"/>
      <c r="AR279" s="791"/>
      <c r="AS279" s="792"/>
    </row>
    <row r="280" spans="1:45" ht="14.45" customHeight="1" x14ac:dyDescent="0.25">
      <c r="A280" s="261"/>
      <c r="B280" s="510" t="s">
        <v>297</v>
      </c>
      <c r="C280" s="510" t="s">
        <v>297</v>
      </c>
      <c r="D280" s="510" t="s">
        <v>297</v>
      </c>
      <c r="E280" s="704"/>
      <c r="F280" s="705"/>
      <c r="G280" s="510"/>
      <c r="H280" s="511"/>
      <c r="I280" s="261" t="str">
        <f>IF(G280="","",IF(G280="Proprietary","Filterra","Clearinghouse Not Used"))</f>
        <v/>
      </c>
      <c r="J280" s="511"/>
      <c r="K280" s="511"/>
      <c r="L280" s="510"/>
      <c r="M280" s="510"/>
      <c r="N280" s="672"/>
      <c r="O280" s="514"/>
      <c r="P280" s="514" t="s">
        <v>297</v>
      </c>
      <c r="Q280" s="688"/>
      <c r="R280" s="674"/>
      <c r="S280" s="674"/>
      <c r="T280" s="674"/>
      <c r="U280" s="1022"/>
      <c r="V280" s="514"/>
      <c r="W280" s="675"/>
      <c r="X280" s="636" t="str">
        <f t="shared" si="119"/>
        <v/>
      </c>
      <c r="Y280" s="706"/>
      <c r="Z280" s="640"/>
      <c r="AA280" s="1022"/>
      <c r="AB280" s="637"/>
      <c r="AC280" s="637"/>
      <c r="AD280" s="637"/>
      <c r="AE280" s="139"/>
      <c r="AF280" s="642"/>
      <c r="AG280" s="583"/>
      <c r="AH280" s="139"/>
      <c r="AI280" s="637"/>
      <c r="AJ280" s="139"/>
      <c r="AK280" s="416" t="str">
        <f t="shared" si="96"/>
        <v/>
      </c>
      <c r="AL280" s="642"/>
      <c r="AM280" s="637"/>
      <c r="AN280" s="637"/>
      <c r="AO280" s="139"/>
      <c r="AP280" s="647"/>
      <c r="AQ280" s="789"/>
      <c r="AR280" s="789"/>
      <c r="AS280" s="790"/>
    </row>
    <row r="281" spans="1:45" ht="30" x14ac:dyDescent="0.25">
      <c r="A281" s="261" t="s">
        <v>726</v>
      </c>
      <c r="B281" s="510">
        <v>38.068269000000001</v>
      </c>
      <c r="C281" s="510">
        <v>-78.482348000000002</v>
      </c>
      <c r="D281" s="510" t="s">
        <v>360</v>
      </c>
      <c r="E281" s="511">
        <v>271.01</v>
      </c>
      <c r="F281" s="669">
        <v>39037</v>
      </c>
      <c r="G281" s="510" t="s">
        <v>281</v>
      </c>
      <c r="H281" s="511"/>
      <c r="I281" s="511"/>
      <c r="J281" s="511" t="s">
        <v>283</v>
      </c>
      <c r="K281" s="511" t="s">
        <v>284</v>
      </c>
      <c r="L281" s="261"/>
      <c r="M281" s="514">
        <f>N281+O281+P281</f>
        <v>2.850342399160132</v>
      </c>
      <c r="N281" s="672">
        <v>1.1166671994899999</v>
      </c>
      <c r="O281" s="514">
        <v>1.7336751996701323</v>
      </c>
      <c r="P281" s="514">
        <v>0</v>
      </c>
      <c r="Q281" s="673">
        <f>+N281/M281</f>
        <v>0.39176598566510173</v>
      </c>
      <c r="R281" s="674">
        <f>IF(L280="TT",(1.76*N281+0.5*O281+0.13*P281)-AF280,1.76*N281+0.5*O281+0.13*P281)</f>
        <v>2.8321718709374659</v>
      </c>
      <c r="S281" s="674">
        <f>IF(L280="TT",(M281*9.39+N281*6.99+O281*2.36)-AK280,M281*9.39+N281*6.99+O281*2.36)</f>
        <v>38.661692323770254</v>
      </c>
      <c r="T281" s="674">
        <f>IF(L280="TT",(M281*676.94+N281*101.08+O281*77.38)-AP280,M281*676.94+N281*101.08+O281*77.38)</f>
        <v>2176.5352911623841</v>
      </c>
      <c r="U281" s="1022" t="s">
        <v>285</v>
      </c>
      <c r="V281" s="514">
        <v>8394</v>
      </c>
      <c r="W281" s="675">
        <f>IF(V281="NA", 0, (V281)*12/N281/43560)</f>
        <v>2.0708020216506631</v>
      </c>
      <c r="X281" s="634" t="str">
        <f t="shared" si="119"/>
        <v>NA</v>
      </c>
      <c r="Y281" s="676">
        <f>IF(X281="NA",0,R281*X281)</f>
        <v>0</v>
      </c>
      <c r="Z281" s="635">
        <f>IF(ISNA(VLOOKUP(J281,'Efficiency Lookup'!$B$2:$C$38,2,FALSE)),0,(VLOOKUP(J281,'Efficiency Lookup'!$B$2:$C$38,2,FALSE)))</f>
        <v>0.65</v>
      </c>
      <c r="AA281" s="139">
        <f>R281*Z281</f>
        <v>1.8409117161093529</v>
      </c>
      <c r="AB281" s="635">
        <f>IF(ISNA(VLOOKUP(K281,'Efficiency Lookup'!$D$2:$E$35,2,FALSE)),0,VLOOKUP(K281,'Efficiency Lookup'!$D$2:$E$35,2,FALSE))</f>
        <v>0.45</v>
      </c>
      <c r="AC281" s="139">
        <f>R281*AB281</f>
        <v>1.2744773419218598</v>
      </c>
      <c r="AD281" s="521">
        <f>IF(U281="RR",IF((0.0304*(W281^5)-0.2619*(W281^4)+0.9161*(W281^3)-1.6837*(W281^2)+1.7072*W281-0.0091)&gt;0.85,0.85,IF((0.0304*(W281^5)-0.2619*(W281^4)+0.9161*(W281^3)-1.6837*(W281^2)+1.7072*W281-0.0091)&lt;0,0,(0.0304*(W281^5)-0.2619*(W281^4)+0.9161*(W281^3)-1.6837*(W281^2)+1.7072*W281-0.0091))),IF((0.0239*(W281^5)-0.2058*(W281^4)+0.7198*(W281^3)-1.3229*(W281^2)+1.3414*W281-0.0072)&gt;0.65,0.65,IF((0.0239*(W281^5)-0.2058*(W281^4)+0.7198*(W281^3)-1.3229*(W281^2)+1.3414*W281-0.0072)&lt;0,0,(0.0239*(W281^5)-0.2058*(W281^4)+0.7198*(W281^3)-1.3229*(W281^2)+1.3414*W281-0.0072))))</f>
        <v>0.78269965664576058</v>
      </c>
      <c r="AE281" s="1005">
        <f>R281*AD281</f>
        <v>2.216739950944536</v>
      </c>
      <c r="AF281" s="516">
        <f>MAX(Y281,AA281,AC281,AE281)</f>
        <v>2.216739950944536</v>
      </c>
      <c r="AG281" s="634">
        <f>IF(ISNA(VLOOKUP(K281,'Efficiency Lookup'!$D$2:$G$35,3,FALSE)),0,VLOOKUP(K281,'Efficiency Lookup'!$D$2:$G$35,3,FALSE))</f>
        <v>0.25</v>
      </c>
      <c r="AH281" s="139">
        <f>S281*AG281</f>
        <v>9.6654230809425634</v>
      </c>
      <c r="AI281" s="521">
        <f>IF(U281="RR",IF((0.0308*(W281^5)-0.2562*(W281^4)+0.8634*(W281^3)-1.5285*(W281^2)+1.501*W281-0.013)&gt;0.7,0.7,IF((0.0308*(W281^5)-0.2562*(W281^4)+0.8634*(W281^3)-1.5285*(W281^2)+1.501*W281-0.013)&lt;0,0,(0.0308*(W281^5)-0.2562*(W281^4)+0.8634*(W281^3)-1.5285*(W281^2)+1.501*W281-0.013))),IF((0.0152*(W281^5)-0.131*(W281^4)+0.4581*(W281^3)-0.8418*(W281^2)+0.8536*W281-0.0046)&gt;0.65,0.65,IF((0.0152*(W281^5)-0.131*(W281^4)+0.4581*(W281^3)-0.8418*(W281^2)+0.8536*W281-0.0046)&lt;0,0,(0.0152*(W281^5)-0.131*(W281^4)+0.4581*(W281^3)-0.8418*(W281^2)+0.8536*W281-0.0046))))</f>
        <v>0.66940143389950346</v>
      </c>
      <c r="AJ281" s="1005">
        <f>S281*AI281</f>
        <v>25.880192278513235</v>
      </c>
      <c r="AK281" s="416">
        <f t="shared" si="96"/>
        <v>25.880192278513235</v>
      </c>
      <c r="AL281" s="634">
        <f>IF(ISNA(VLOOKUP(K281,'Efficiency Lookup'!$D$2:$G$35,4,FALSE)),0,VLOOKUP(K281,'Efficiency Lookup'!$D$2:$G$35,4,FALSE))</f>
        <v>0.55000000000000004</v>
      </c>
      <c r="AM281" s="139">
        <f>T281*AL281</f>
        <v>1197.0944101393113</v>
      </c>
      <c r="AN281" s="521">
        <f>IF(U281="RR",IF((0.0326*(W281^5)-0.2806*(W281^4)+0.9816*(W281^3)-1.8039*(W281^2)+1.8292*W281-0.0098)&gt;0.85,0.85,IF((0.0326*(W281^5)-0.2806*(W281^4)+0.9816*(W281^3)-1.8039*(W281^2)+1.8292*W281-0.0098)&lt;0,0,(0.0326*(W281^5)-0.2806*(W281^4)+0.9816*(W281^3)-1.8039*(W281^2)+1.8292*W281-0.0098))),IF((0.0304*(W281^5)-0.2619*(W281^4)+0.9161*(W281^3)-1.6837*(W281^2)+1.7072*W281-0.0091)&gt;0.8,0.8,IF((0.0304*(W281^5)-0.2619*(W281^4)+0.9161*(W281^3)-1.6837*(W281^2)+1.7072*W281-0.0091)&lt;0,0,(0.0304*(W281^5)-0.2619*(W281^4)+0.9161*(W281^3)-1.6837*(W281^2)+1.7072*W281-0.0091))))</f>
        <v>0.84074097739979892</v>
      </c>
      <c r="AO281" s="1005">
        <f>T281*AN281</f>
        <v>1829.9024080370186</v>
      </c>
      <c r="AP281" s="647">
        <f>IF(AK281=AH281,AM281,AO281)</f>
        <v>1829.9024080370186</v>
      </c>
      <c r="AQ281" s="789">
        <f>IF(AF281&lt;0,0,AF281)</f>
        <v>2.216739950944536</v>
      </c>
      <c r="AR281" s="789">
        <f>IF(AK281&lt;0,0,AK281)</f>
        <v>25.880192278513235</v>
      </c>
      <c r="AS281" s="790">
        <f>IF(AP281&lt;0,0,AP281)</f>
        <v>1829.9024080370186</v>
      </c>
    </row>
    <row r="282" spans="1:45" ht="30" x14ac:dyDescent="0.25">
      <c r="A282" s="261" t="s">
        <v>726</v>
      </c>
      <c r="B282" s="510">
        <v>38.069403000000001</v>
      </c>
      <c r="C282" s="510">
        <v>-78.482414000000006</v>
      </c>
      <c r="D282" s="510" t="s">
        <v>296</v>
      </c>
      <c r="E282" s="511">
        <v>271.02</v>
      </c>
      <c r="F282" s="669">
        <v>39037</v>
      </c>
      <c r="G282" s="510" t="s">
        <v>281</v>
      </c>
      <c r="H282" s="511"/>
      <c r="I282" s="511"/>
      <c r="J282" s="511" t="s">
        <v>283</v>
      </c>
      <c r="K282" s="511" t="s">
        <v>315</v>
      </c>
      <c r="L282" s="261"/>
      <c r="M282" s="514">
        <f>N282+O282+P282</f>
        <v>1.4474444418407999</v>
      </c>
      <c r="N282" s="672">
        <v>0.74496222972600001</v>
      </c>
      <c r="O282" s="514">
        <v>0.7024822121148</v>
      </c>
      <c r="P282" s="514">
        <v>0</v>
      </c>
      <c r="Q282" s="673">
        <f>+N282/M282</f>
        <v>0.51467414443803305</v>
      </c>
      <c r="R282" s="674">
        <f>IF(L281="TT",(1.76*N282+0.5*O282+0.13*P282)-AF281,1.76*N282+0.5*O282+0.13*P282)</f>
        <v>1.6623746303751599</v>
      </c>
      <c r="S282" s="674">
        <f>IF(L281="TT",(M282*9.39+N282*6.99+O282*2.36)-AK281,M282*9.39+N282*6.99+O282*2.36)</f>
        <v>20.456647315260781</v>
      </c>
      <c r="T282" s="674">
        <f>IF(L281="TT",(M282*676.94+N282*101.08+O282*77.38)-AP281,M282*676.94+N282*101.08+O282*77.38)</f>
        <v>1109.4918962138586</v>
      </c>
      <c r="U282" s="1022" t="s">
        <v>285</v>
      </c>
      <c r="V282" s="514">
        <v>6782</v>
      </c>
      <c r="W282" s="675">
        <f>IF(V282="NA", 0, (V282)*12/N282/43560)</f>
        <v>2.5079386372592678</v>
      </c>
      <c r="X282" s="634" t="str">
        <f t="shared" si="119"/>
        <v>NA</v>
      </c>
      <c r="Y282" s="676">
        <f>IF(X282="NA",0,R282*X282)</f>
        <v>0</v>
      </c>
      <c r="Z282" s="635">
        <f>IF(ISNA(VLOOKUP(J282,'Efficiency Lookup'!$B$2:$C$38,2,FALSE)),0,(VLOOKUP(J282,'Efficiency Lookup'!$B$2:$C$38,2,FALSE)))</f>
        <v>0.65</v>
      </c>
      <c r="AA282" s="139">
        <f>R282*Z282</f>
        <v>1.080543509743854</v>
      </c>
      <c r="AB282" s="635">
        <f>IF(ISNA(VLOOKUP(K282,'Efficiency Lookup'!$D$2:$E$35,2,FALSE)),0,VLOOKUP(K282,'Efficiency Lookup'!$D$2:$E$35,2,FALSE))</f>
        <v>0.75</v>
      </c>
      <c r="AC282" s="139">
        <f>R282*AB282</f>
        <v>1.2467809727813699</v>
      </c>
      <c r="AD282" s="521">
        <f>IF(U282="RR",IF((0.0304*(W282^5)-0.2619*(W282^4)+0.9161*(W282^3)-1.6837*(W282^2)+1.7072*W282-0.0091)&gt;0.85,0.85,IF((0.0304*(W282^5)-0.2619*(W282^4)+0.9161*(W282^3)-1.6837*(W282^2)+1.7072*W282-0.0091)&lt;0,0,(0.0304*(W282^5)-0.2619*(W282^4)+0.9161*(W282^3)-1.6837*(W282^2)+1.7072*W282-0.0091))),IF((0.0239*(W282^5)-0.2058*(W282^4)+0.7198*(W282^3)-1.3229*(W282^2)+1.3414*W282-0.0072)&gt;0.65,0.65,IF((0.0239*(W282^5)-0.2058*(W282^4)+0.7198*(W282^3)-1.3229*(W282^2)+1.3414*W282-0.0072)&lt;0,0,(0.0239*(W282^5)-0.2058*(W282^4)+0.7198*(W282^3)-1.3229*(W282^2)+1.3414*W282-0.0072))))</f>
        <v>0.78839864074789656</v>
      </c>
      <c r="AE282" s="1005">
        <f>R282*AD282</f>
        <v>1.310613899001563</v>
      </c>
      <c r="AF282" s="516">
        <f>MAX(Y282,AA282,AC282,AE282)</f>
        <v>1.310613899001563</v>
      </c>
      <c r="AG282" s="634">
        <f>IF(ISNA(VLOOKUP(K282,'Efficiency Lookup'!$D$2:$G$35,3,FALSE)),0,VLOOKUP(K282,'Efficiency Lookup'!$D$2:$G$35,3,FALSE))</f>
        <v>0.7</v>
      </c>
      <c r="AH282" s="139">
        <f>S282*AG282</f>
        <v>14.319653120682545</v>
      </c>
      <c r="AI282" s="521">
        <f>IF(U282="RR",IF((0.0308*(W282^5)-0.2562*(W282^4)+0.8634*(W282^3)-1.5285*(W282^2)+1.501*W282-0.013)&gt;0.7,0.7,IF((0.0308*(W282^5)-0.2562*(W282^4)+0.8634*(W282^3)-1.5285*(W282^2)+1.501*W282-0.013)&lt;0,0,(0.0308*(W282^5)-0.2562*(W282^4)+0.8634*(W282^3)-1.5285*(W282^2)+1.501*W282-0.013))),IF((0.0152*(W282^5)-0.131*(W282^4)+0.4581*(W282^3)-0.8418*(W282^2)+0.8536*W282-0.0046)&gt;0.65,0.65,IF((0.0152*(W282^5)-0.131*(W282^4)+0.4581*(W282^3)-0.8418*(W282^2)+0.8536*W282-0.0046)&lt;0,0,(0.0152*(W282^5)-0.131*(W282^4)+0.4581*(W282^3)-0.8418*(W282^2)+0.8536*W282-0.0046))))</f>
        <v>0.6774096019724668</v>
      </c>
      <c r="AJ282" s="1005">
        <f>S282*AI282</f>
        <v>13.857529315521937</v>
      </c>
      <c r="AK282" s="416">
        <f t="shared" si="96"/>
        <v>13.857529315521937</v>
      </c>
      <c r="AL282" s="634">
        <f>IF(ISNA(VLOOKUP(K282,'Efficiency Lookup'!$D$2:$G$35,4,FALSE)),0,VLOOKUP(K282,'Efficiency Lookup'!$D$2:$G$35,4,FALSE))</f>
        <v>0.8</v>
      </c>
      <c r="AM282" s="139">
        <f>T282*AL282</f>
        <v>887.59351697108696</v>
      </c>
      <c r="AN282" s="521">
        <f>IF(U282="RR",IF((0.0326*(W282^5)-0.2806*(W282^4)+0.9816*(W282^3)-1.8039*(W282^2)+1.8292*W282-0.0098)&gt;0.85,0.85,IF((0.0326*(W282^5)-0.2806*(W282^4)+0.9816*(W282^3)-1.8039*(W282^2)+1.8292*W282-0.0098)&lt;0,0,(0.0326*(W282^5)-0.2806*(W282^4)+0.9816*(W282^3)-1.8039*(W282^2)+1.8292*W282-0.0098))),IF((0.0304*(W282^5)-0.2619*(W282^4)+0.9161*(W282^3)-1.6837*(W282^2)+1.7072*W282-0.0091)&gt;0.8,0.8,IF((0.0304*(W282^5)-0.2619*(W282^4)+0.9161*(W282^3)-1.6837*(W282^2)+1.7072*W282-0.0091)&lt;0,0,(0.0304*(W282^5)-0.2619*(W282^4)+0.9161*(W282^3)-1.6837*(W282^2)+1.7072*W282-0.0091))))</f>
        <v>0.84934188527285337</v>
      </c>
      <c r="AO282" s="1005">
        <f>T282*AN282</f>
        <v>942.33793882523162</v>
      </c>
      <c r="AP282" s="647">
        <f>IF(AK282=AH282,AM282,AO282)</f>
        <v>942.33793882523162</v>
      </c>
      <c r="AQ282" s="789">
        <f>IF(AF282&lt;0,0,AF282)</f>
        <v>1.310613899001563</v>
      </c>
      <c r="AR282" s="789">
        <f>IF(AK282&lt;0,0,AK282)</f>
        <v>13.857529315521937</v>
      </c>
      <c r="AS282" s="790">
        <f>IF(AP282&lt;0,0,AP282)</f>
        <v>942.33793882523162</v>
      </c>
    </row>
    <row r="283" spans="1:45" x14ac:dyDescent="0.25">
      <c r="A283" s="261"/>
      <c r="B283" s="510" t="s">
        <v>297</v>
      </c>
      <c r="C283" s="510" t="s">
        <v>297</v>
      </c>
      <c r="D283" s="510" t="s">
        <v>297</v>
      </c>
      <c r="E283" s="511"/>
      <c r="F283" s="705"/>
      <c r="G283" s="510"/>
      <c r="H283" s="511"/>
      <c r="I283" s="261" t="str">
        <f>IF(G283="","",IF(G283="Proprietary","Filterra","Clearinghouse Not Used"))</f>
        <v/>
      </c>
      <c r="J283" s="511"/>
      <c r="K283" s="511"/>
      <c r="L283" s="510"/>
      <c r="M283" s="510"/>
      <c r="N283" s="672"/>
      <c r="O283" s="514"/>
      <c r="P283" s="514" t="s">
        <v>297</v>
      </c>
      <c r="Q283" s="688"/>
      <c r="R283" s="674"/>
      <c r="S283" s="674"/>
      <c r="T283" s="674"/>
      <c r="U283" s="1022"/>
      <c r="V283" s="514"/>
      <c r="W283" s="675"/>
      <c r="X283" s="634" t="str">
        <f t="shared" si="119"/>
        <v/>
      </c>
      <c r="Y283" s="676"/>
      <c r="Z283" s="640"/>
      <c r="AA283" s="1022"/>
      <c r="AB283" s="637"/>
      <c r="AC283" s="637"/>
      <c r="AD283" s="637"/>
      <c r="AE283" s="139"/>
      <c r="AF283" s="642"/>
      <c r="AG283" s="583"/>
      <c r="AH283" s="139"/>
      <c r="AI283" s="637"/>
      <c r="AJ283" s="139"/>
      <c r="AK283" s="416" t="str">
        <f t="shared" si="96"/>
        <v/>
      </c>
      <c r="AL283" s="642"/>
      <c r="AM283" s="637"/>
      <c r="AN283" s="637"/>
      <c r="AO283" s="139"/>
      <c r="AP283" s="647"/>
      <c r="AQ283" s="789"/>
      <c r="AR283" s="789"/>
      <c r="AS283" s="790"/>
    </row>
    <row r="284" spans="1:45" x14ac:dyDescent="0.25">
      <c r="A284" s="628"/>
      <c r="B284" s="668" t="s">
        <v>297</v>
      </c>
      <c r="C284" s="668" t="s">
        <v>297</v>
      </c>
      <c r="D284" s="668" t="s">
        <v>297</v>
      </c>
      <c r="E284" s="710"/>
      <c r="F284" s="711"/>
      <c r="G284" s="668"/>
      <c r="H284" s="712"/>
      <c r="I284" s="712" t="str">
        <f>IF(G284="","",IF(G284="Proprietary","Filterra","Clearinghouse Not Used"))</f>
        <v/>
      </c>
      <c r="J284" s="712"/>
      <c r="K284" s="712"/>
      <c r="L284" s="712"/>
      <c r="M284" s="712"/>
      <c r="N284" s="712"/>
      <c r="O284" s="712"/>
      <c r="P284" s="712"/>
      <c r="Q284" s="712"/>
      <c r="R284" s="712"/>
      <c r="S284" s="712"/>
      <c r="T284" s="712"/>
      <c r="U284" s="712"/>
      <c r="V284" s="712"/>
      <c r="W284" s="712"/>
      <c r="X284" s="763" t="str">
        <f t="shared" si="119"/>
        <v/>
      </c>
      <c r="Y284" s="720"/>
      <c r="Z284" s="712"/>
      <c r="AA284" s="712"/>
      <c r="AB284" s="638"/>
      <c r="AC284" s="638"/>
      <c r="AD284" s="638"/>
      <c r="AE284" s="629"/>
      <c r="AF284" s="666"/>
      <c r="AG284" s="666"/>
      <c r="AH284" s="629"/>
      <c r="AI284" s="638"/>
      <c r="AJ284" s="629"/>
      <c r="AK284" s="639" t="str">
        <f t="shared" si="96"/>
        <v/>
      </c>
      <c r="AL284" s="644"/>
      <c r="AM284" s="638"/>
      <c r="AN284" s="638"/>
      <c r="AO284" s="629"/>
      <c r="AP284" s="648"/>
      <c r="AQ284" s="791"/>
      <c r="AR284" s="791"/>
      <c r="AS284" s="792"/>
    </row>
    <row r="285" spans="1:45" ht="14.45" customHeight="1" x14ac:dyDescent="0.25">
      <c r="A285" s="261"/>
      <c r="B285" s="510" t="s">
        <v>297</v>
      </c>
      <c r="C285" s="510" t="s">
        <v>297</v>
      </c>
      <c r="D285" s="510" t="s">
        <v>297</v>
      </c>
      <c r="E285" s="704"/>
      <c r="F285" s="705"/>
      <c r="G285" s="510"/>
      <c r="H285" s="511"/>
      <c r="I285" s="261" t="str">
        <f>IF(G285="","",IF(G285="Proprietary","Filterra","Clearinghouse Not Used"))</f>
        <v/>
      </c>
      <c r="J285" s="511"/>
      <c r="K285" s="511"/>
      <c r="L285" s="510"/>
      <c r="M285" s="510"/>
      <c r="N285" s="672"/>
      <c r="O285" s="514"/>
      <c r="P285" s="514" t="s">
        <v>297</v>
      </c>
      <c r="Q285" s="688"/>
      <c r="R285" s="674"/>
      <c r="S285" s="674"/>
      <c r="T285" s="674"/>
      <c r="U285" s="1022"/>
      <c r="V285" s="514"/>
      <c r="W285" s="675"/>
      <c r="X285" s="634" t="str">
        <f t="shared" si="119"/>
        <v/>
      </c>
      <c r="Y285" s="676"/>
      <c r="Z285" s="640"/>
      <c r="AA285" s="1022"/>
      <c r="AB285" s="637"/>
      <c r="AC285" s="637"/>
      <c r="AD285" s="637"/>
      <c r="AE285" s="139"/>
      <c r="AF285" s="642"/>
      <c r="AG285" s="583"/>
      <c r="AH285" s="139"/>
      <c r="AI285" s="637"/>
      <c r="AJ285" s="139"/>
      <c r="AK285" s="416" t="str">
        <f t="shared" si="96"/>
        <v/>
      </c>
      <c r="AL285" s="642"/>
      <c r="AM285" s="637"/>
      <c r="AN285" s="637"/>
      <c r="AO285" s="139"/>
      <c r="AP285" s="647"/>
      <c r="AQ285" s="789"/>
      <c r="AR285" s="789"/>
      <c r="AS285" s="790"/>
    </row>
    <row r="286" spans="1:45" ht="30" x14ac:dyDescent="0.25">
      <c r="A286" s="261" t="s">
        <v>727</v>
      </c>
      <c r="B286" s="510">
        <v>38.035156999999998</v>
      </c>
      <c r="C286" s="510">
        <v>-78.448865999999995</v>
      </c>
      <c r="D286" s="510" t="s">
        <v>296</v>
      </c>
      <c r="E286" s="511">
        <v>366.01</v>
      </c>
      <c r="F286" s="669">
        <v>41206</v>
      </c>
      <c r="G286" s="510" t="s">
        <v>281</v>
      </c>
      <c r="H286" s="511"/>
      <c r="I286" s="511"/>
      <c r="J286" s="511" t="s">
        <v>343</v>
      </c>
      <c r="K286" s="511" t="s">
        <v>315</v>
      </c>
      <c r="L286" s="261"/>
      <c r="M286" s="671">
        <f>N286+O286+P286</f>
        <v>5.1759659122479995</v>
      </c>
      <c r="N286" s="672">
        <v>1.4342131812900001</v>
      </c>
      <c r="O286" s="514">
        <v>3.7417527309579999</v>
      </c>
      <c r="P286" s="514">
        <v>0</v>
      </c>
      <c r="Q286" s="673">
        <f>+N286/M286</f>
        <v>0.2770909247868481</v>
      </c>
      <c r="R286" s="674">
        <f>IF(L204="TT",(1.76*N286+0.5*O286+0.13*P286)-AF204,1.76*N286+0.5*O286+0.13*P286)</f>
        <v>4.3950915645494</v>
      </c>
      <c r="S286" s="674">
        <f>IF(L204="TT",(M286*9.39+N286*6.99+O286*2.36)-AK204,M286*9.39+N286*6.99+O286*2.36)</f>
        <v>67.458006498286693</v>
      </c>
      <c r="T286" s="674">
        <f>IF(L204="TT",(M286*676.94+N286*101.08+O286*77.38)-AP204,M286*676.94+N286*101.08+O286*77.38)</f>
        <v>3938.3254593234847</v>
      </c>
      <c r="U286" s="1022" t="s">
        <v>285</v>
      </c>
      <c r="V286" s="514">
        <f>3770*(0.5+2.5*0.25+0.5*0.4)</f>
        <v>4995.25</v>
      </c>
      <c r="W286" s="675">
        <f>IF(V286="NA", 0, (V286)*12/N286/43560)</f>
        <v>0.95948213719310804</v>
      </c>
      <c r="X286" s="634" t="str">
        <f t="shared" si="119"/>
        <v>NA</v>
      </c>
      <c r="Y286" s="676">
        <f>IF(X286="NA",0,R286*X286)</f>
        <v>0</v>
      </c>
      <c r="Z286" s="635">
        <f>IF(ISNA(VLOOKUP(J286,'Efficiency Lookup'!$B$2:$C$38,2,FALSE)),0,(VLOOKUP(J286,'Efficiency Lookup'!$B$2:$C$38,2,FALSE)))</f>
        <v>0.5</v>
      </c>
      <c r="AA286" s="139">
        <f>R286*Z286</f>
        <v>2.1975457822747</v>
      </c>
      <c r="AB286" s="640">
        <f>IF(ISNA(VLOOKUP(K286,'Efficiency Lookup'!$D$2:$E$35,2,FALSE)),0,VLOOKUP(K286,'Efficiency Lookup'!$D$2:$E$35,2,FALSE))</f>
        <v>0.75</v>
      </c>
      <c r="AC286" s="1022">
        <f>R286*AB286</f>
        <v>3.29631867341205</v>
      </c>
      <c r="AD286" s="637">
        <f>IF(U286="RR",IF((0.0304*(W286^5)-0.2619*(W286^4)+0.9161*(W286^3)-1.6837*(W286^2)+1.7072*W286-0.0091)&gt;0.85,0.85,IF((0.0304*(W286^5)-0.2619*(W286^4)+0.9161*(W286^3)-1.6837*(W286^2)+1.7072*W286-0.0091)&lt;0,0,(0.0304*(W286^5)-0.2619*(W286^4)+0.9161*(W286^3)-1.6837*(W286^2)+1.7072*W286-0.0091))),IF((0.0239*(W286^5)-0.2058*(W286^4)+0.7198*(W286^3)-1.3229*(W286^2)+1.3414*W286-0.0072)&gt;0.65,0.65,IF((0.0239*(W286^5)-0.2058*(W286^4)+0.7198*(W286^3)-1.3229*(W286^2)+1.3414*W286-0.0072)&lt;0,0,(0.0239*(W286^5)-0.2058*(W286^4)+0.7198*(W286^3)-1.3229*(W286^2)+1.3414*W286-0.0072))))</f>
        <v>0.69085560133157309</v>
      </c>
      <c r="AE286" s="139">
        <f>R286*AD286</f>
        <v>3.0363736257341003</v>
      </c>
      <c r="AF286" s="516">
        <f>MAX(Y286,AA286,AC286,AE286)</f>
        <v>3.29631867341205</v>
      </c>
      <c r="AG286" s="636">
        <f>IF(ISNA(VLOOKUP(K286,'Efficiency Lookup'!$D$2:$G$35,3,FALSE)),0,VLOOKUP(K286,'Efficiency Lookup'!$D$2:$G$35,3,FALSE))</f>
        <v>0.7</v>
      </c>
      <c r="AH286" s="1022">
        <f>S286*AG286</f>
        <v>47.220604548800679</v>
      </c>
      <c r="AI286" s="637">
        <f>IF(U286="RR",IF((0.0308*(W286^5)-0.2562*(W286^4)+0.8634*(W286^3)-1.5285*(W286^2)+1.501*W286-0.013)&gt;0.7,0.7,IF((0.0308*(W286^5)-0.2562*(W286^4)+0.8634*(W286^3)-1.5285*(W286^2)+1.501*W286-0.013)&lt;0,0,(0.0308*(W286^5)-0.2562*(W286^4)+0.8634*(W286^3)-1.5285*(W286^2)+1.501*W286-0.013))),IF((0.0152*(W286^5)-0.131*(W286^4)+0.4581*(W286^3)-0.8418*(W286^2)+0.8536*W286-0.0046)&gt;0.65,0.65,IF((0.0152*(W286^5)-0.131*(W286^4)+0.4581*(W286^3)-0.8418*(W286^2)+0.8536*W286-0.0046)&lt;0,0,(0.0152*(W286^5)-0.131*(W286^4)+0.4581*(W286^3)-0.8418*(W286^2)+0.8536*W286-0.0046))))</f>
        <v>0.59059436657757691</v>
      </c>
      <c r="AJ286" s="139">
        <f>S286*AI286</f>
        <v>39.8403186184417</v>
      </c>
      <c r="AK286" s="416">
        <f t="shared" si="96"/>
        <v>47.220604548800679</v>
      </c>
      <c r="AL286" s="641">
        <f>IF(ISNA(VLOOKUP(K286,'Efficiency Lookup'!$D$2:$G$35,4,FALSE)),0,VLOOKUP(K286,'Efficiency Lookup'!$D$2:$G$35,4,FALSE))</f>
        <v>0.8</v>
      </c>
      <c r="AM286" s="1022">
        <f>T286*AL286</f>
        <v>3150.6603674587877</v>
      </c>
      <c r="AN286" s="637">
        <f>IF(U286="RR",IF((0.0326*(W286^5)-0.2806*(W286^4)+0.9816*(W286^3)-1.8039*(W286^2)+1.8292*W286-0.0098)&gt;0.85,0.85,IF((0.0326*(W286^5)-0.2806*(W286^4)+0.9816*(W286^3)-1.8039*(W286^2)+1.8292*W286-0.0098)&lt;0,0,(0.0326*(W286^5)-0.2806*(W286^4)+0.9816*(W286^3)-1.8039*(W286^2)+1.8292*W286-0.0098))),IF((0.0304*(W286^5)-0.2619*(W286^4)+0.9161*(W286^3)-1.6837*(W286^2)+1.7072*W286-0.0091)&gt;0.8,0.8,IF((0.0304*(W286^5)-0.2619*(W286^4)+0.9161*(W286^3)-1.6837*(W286^2)+1.7072*W286-0.0091)&lt;0,0,(0.0304*(W286^5)-0.2619*(W286^4)+0.9161*(W286^3)-1.6837*(W286^2)+1.7072*W286-0.0091))))</f>
        <v>0.74035251052982276</v>
      </c>
      <c r="AO286" s="139">
        <f>T286*AN286</f>
        <v>2915.7491410936591</v>
      </c>
      <c r="AP286" s="647">
        <f>IF(AK286=AH286,AM286,AO286)</f>
        <v>3150.6603674587877</v>
      </c>
      <c r="AQ286" s="789">
        <f>IF(AF286&lt;0,0,AF286)</f>
        <v>3.29631867341205</v>
      </c>
      <c r="AR286" s="789">
        <f>IF(AK286&lt;0,0,AK286)</f>
        <v>47.220604548800679</v>
      </c>
      <c r="AS286" s="789">
        <f>IF(AP286&lt;0,0,AP286)</f>
        <v>3150.6603674587877</v>
      </c>
    </row>
    <row r="287" spans="1:45" x14ac:dyDescent="0.25">
      <c r="A287" s="261"/>
      <c r="B287" s="510" t="s">
        <v>297</v>
      </c>
      <c r="C287" s="510" t="s">
        <v>297</v>
      </c>
      <c r="D287" s="510" t="s">
        <v>297</v>
      </c>
      <c r="E287" s="511"/>
      <c r="F287" s="705"/>
      <c r="G287" s="510"/>
      <c r="H287" s="511"/>
      <c r="I287" s="261"/>
      <c r="J287" s="511"/>
      <c r="K287" s="511"/>
      <c r="L287" s="510"/>
      <c r="M287" s="510"/>
      <c r="N287" s="672"/>
      <c r="O287" s="514"/>
      <c r="P287" s="514" t="s">
        <v>297</v>
      </c>
      <c r="Q287" s="688"/>
      <c r="R287" s="674"/>
      <c r="S287" s="674"/>
      <c r="T287" s="674"/>
      <c r="U287" s="1022"/>
      <c r="V287" s="514"/>
      <c r="W287" s="675"/>
      <c r="X287" s="636" t="str">
        <f t="shared" si="119"/>
        <v/>
      </c>
      <c r="Y287" s="706"/>
      <c r="Z287" s="640"/>
      <c r="AA287" s="1022"/>
      <c r="AB287" s="637"/>
      <c r="AC287" s="637"/>
      <c r="AD287" s="637"/>
      <c r="AE287" s="139"/>
      <c r="AF287" s="642"/>
      <c r="AG287" s="583"/>
      <c r="AH287" s="139"/>
      <c r="AI287" s="637"/>
      <c r="AJ287" s="139"/>
      <c r="AK287" s="416" t="str">
        <f t="shared" si="96"/>
        <v/>
      </c>
      <c r="AL287" s="642"/>
      <c r="AM287" s="637"/>
      <c r="AN287" s="637"/>
      <c r="AO287" s="139"/>
      <c r="AP287" s="647"/>
      <c r="AQ287" s="789"/>
      <c r="AR287" s="789"/>
      <c r="AS287" s="790"/>
    </row>
    <row r="288" spans="1:45" x14ac:dyDescent="0.25">
      <c r="A288" s="628"/>
      <c r="B288" s="668" t="s">
        <v>297</v>
      </c>
      <c r="C288" s="668" t="s">
        <v>297</v>
      </c>
      <c r="D288" s="668" t="s">
        <v>297</v>
      </c>
      <c r="E288" s="710"/>
      <c r="F288" s="711"/>
      <c r="G288" s="668"/>
      <c r="H288" s="712"/>
      <c r="I288" s="712"/>
      <c r="J288" s="712"/>
      <c r="K288" s="712"/>
      <c r="L288" s="712"/>
      <c r="M288" s="712"/>
      <c r="N288" s="712"/>
      <c r="O288" s="712"/>
      <c r="P288" s="712"/>
      <c r="Q288" s="712"/>
      <c r="R288" s="712"/>
      <c r="S288" s="712"/>
      <c r="T288" s="712"/>
      <c r="U288" s="712"/>
      <c r="V288" s="712"/>
      <c r="W288" s="712"/>
      <c r="X288" s="760" t="str">
        <f t="shared" si="119"/>
        <v/>
      </c>
      <c r="Y288" s="713"/>
      <c r="Z288" s="712"/>
      <c r="AA288" s="712"/>
      <c r="AB288" s="638"/>
      <c r="AC288" s="638"/>
      <c r="AD288" s="638"/>
      <c r="AE288" s="629"/>
      <c r="AF288" s="666"/>
      <c r="AG288" s="666"/>
      <c r="AH288" s="629"/>
      <c r="AI288" s="638"/>
      <c r="AJ288" s="629"/>
      <c r="AK288" s="639" t="str">
        <f t="shared" si="96"/>
        <v/>
      </c>
      <c r="AL288" s="644"/>
      <c r="AM288" s="638"/>
      <c r="AN288" s="638"/>
      <c r="AO288" s="629"/>
      <c r="AP288" s="648"/>
      <c r="AQ288" s="791"/>
      <c r="AR288" s="791"/>
      <c r="AS288" s="792"/>
    </row>
    <row r="289" spans="1:45" ht="14.45" customHeight="1" x14ac:dyDescent="0.25">
      <c r="A289" s="261"/>
      <c r="B289" s="510" t="s">
        <v>297</v>
      </c>
      <c r="C289" s="510" t="s">
        <v>297</v>
      </c>
      <c r="D289" s="510" t="s">
        <v>297</v>
      </c>
      <c r="E289" s="704"/>
      <c r="F289" s="705"/>
      <c r="G289" s="510"/>
      <c r="H289" s="511"/>
      <c r="I289" s="261"/>
      <c r="J289" s="511"/>
      <c r="K289" s="511"/>
      <c r="L289" s="510"/>
      <c r="M289" s="510"/>
      <c r="N289" s="672"/>
      <c r="O289" s="514"/>
      <c r="P289" s="514" t="s">
        <v>297</v>
      </c>
      <c r="Q289" s="688"/>
      <c r="R289" s="674"/>
      <c r="S289" s="674"/>
      <c r="T289" s="674"/>
      <c r="U289" s="1022"/>
      <c r="V289" s="514"/>
      <c r="W289" s="675"/>
      <c r="X289" s="636" t="str">
        <f t="shared" si="119"/>
        <v/>
      </c>
      <c r="Y289" s="706"/>
      <c r="Z289" s="640"/>
      <c r="AA289" s="1022"/>
      <c r="AB289" s="637"/>
      <c r="AC289" s="637"/>
      <c r="AD289" s="637"/>
      <c r="AE289" s="139"/>
      <c r="AF289" s="642"/>
      <c r="AG289" s="583"/>
      <c r="AH289" s="139"/>
      <c r="AI289" s="637"/>
      <c r="AJ289" s="139"/>
      <c r="AK289" s="416" t="str">
        <f t="shared" si="96"/>
        <v/>
      </c>
      <c r="AL289" s="642"/>
      <c r="AM289" s="637"/>
      <c r="AN289" s="637"/>
      <c r="AO289" s="139"/>
      <c r="AP289" s="647"/>
      <c r="AQ289" s="789"/>
      <c r="AR289" s="789"/>
      <c r="AS289" s="790"/>
    </row>
    <row r="290" spans="1:45" ht="30" x14ac:dyDescent="0.25">
      <c r="A290" s="261" t="s">
        <v>728</v>
      </c>
      <c r="B290" s="510">
        <v>38.023564</v>
      </c>
      <c r="C290" s="510">
        <v>-78.527456999999998</v>
      </c>
      <c r="D290" s="510" t="s">
        <v>279</v>
      </c>
      <c r="E290" s="511">
        <v>180.03</v>
      </c>
      <c r="F290" s="669">
        <v>39232</v>
      </c>
      <c r="G290" s="510" t="s">
        <v>274</v>
      </c>
      <c r="H290" s="670"/>
      <c r="I290" s="511"/>
      <c r="J290" s="511" t="s">
        <v>530</v>
      </c>
      <c r="K290" s="511" t="s">
        <v>277</v>
      </c>
      <c r="L290" s="671"/>
      <c r="M290" s="671">
        <f>N290+O290+P290</f>
        <v>18.614102371974731</v>
      </c>
      <c r="N290" s="672">
        <v>11.9820423800999</v>
      </c>
      <c r="O290" s="514">
        <v>6.5270418511627293</v>
      </c>
      <c r="P290" s="514">
        <v>0.1050181407121</v>
      </c>
      <c r="Q290" s="673">
        <f>+N290/M290</f>
        <v>0.6437077727766225</v>
      </c>
      <c r="R290" s="674">
        <f>IF(L289="TT",(1.76*N290+0.5*O290+0.13*P290)-AF289,1.76*N290+0.5*O290+0.13*P290)</f>
        <v>24.365567872849763</v>
      </c>
      <c r="S290" s="674">
        <f>IF(L289="TT",(M290*9.39+N290*6.99+O290*2.36)-AK289,M290*9.39+N290*6.99+O290*2.36)</f>
        <v>273.94471627848509</v>
      </c>
      <c r="T290" s="674">
        <f>IF(L289="TT",(M290*676.94+N290*101.08+O290*77.38)-AP289,M290*676.94+N290*101.08+O290*77.38)</f>
        <v>14316.837801908045</v>
      </c>
      <c r="U290" s="1022" t="s">
        <v>278</v>
      </c>
      <c r="V290" s="514">
        <v>51038</v>
      </c>
      <c r="W290" s="675">
        <f>IF(V290="NA", 0, (V290)*12/N290/43560)</f>
        <v>1.1734272547533342</v>
      </c>
      <c r="X290" s="634" t="str">
        <f t="shared" si="119"/>
        <v>NA</v>
      </c>
      <c r="Y290" s="676">
        <f>IF(X290="NA",0,R290*X290)</f>
        <v>0</v>
      </c>
      <c r="Z290" s="635">
        <f>IF(ISNA(VLOOKUP(J290,'Efficiency Lookup'!$B$2:$C$38,2,FALSE)),0,(VLOOKUP(J290,'Efficiency Lookup'!$B$2:$C$38,2,FALSE)))</f>
        <v>0.4</v>
      </c>
      <c r="AA290" s="139">
        <f>R290*Z290</f>
        <v>9.7462271491399051</v>
      </c>
      <c r="AB290" s="635">
        <f>IF(ISNA(VLOOKUP(K290,'Efficiency Lookup'!$D$2:$E$35,2,FALSE)),0,VLOOKUP(K290,'Efficiency Lookup'!$D$2:$E$35,2,FALSE))</f>
        <v>0.45</v>
      </c>
      <c r="AC290" s="139">
        <f>R290*AB290</f>
        <v>10.964505542782394</v>
      </c>
      <c r="AD290" s="521">
        <f>IF(U290="RR",IF((0.0304*(W290^5)-0.2619*(W290^4)+0.9161*(W290^3)-1.6837*(W290^2)+1.7072*W290-0.0091)&gt;0.85,0.85,IF((0.0304*(W290^5)-0.2619*(W290^4)+0.9161*(W290^3)-1.6837*(W290^2)+1.7072*W290-0.0091)&lt;0,0,(0.0304*(W290^5)-0.2619*(W290^4)+0.9161*(W290^3)-1.6837*(W290^2)+1.7072*W290-0.0091))),IF((0.0239*(W290^5)-0.2058*(W290^4)+0.7198*(W290^3)-1.3229*(W290^2)+1.3414*W290-0.0072)&gt;0.65,0.65,IF((0.0239*(W290^5)-0.2058*(W290^4)+0.7198*(W290^3)-1.3229*(W290^2)+1.3414*W290-0.0072)&lt;0,0,(0.0239*(W290^5)-0.2058*(W290^4)+0.7198*(W290^3)-1.3229*(W290^2)+1.3414*W290-0.0072))))</f>
        <v>0.57128126899582821</v>
      </c>
      <c r="AE290" s="1005">
        <f>R290*AD290</f>
        <v>13.919592534205595</v>
      </c>
      <c r="AF290" s="516">
        <f>MAX(Y290,AA290,AC290,AE290)</f>
        <v>13.919592534205595</v>
      </c>
      <c r="AG290" s="634">
        <f>IF(ISNA(VLOOKUP(K290,'Efficiency Lookup'!$D$2:$G$35,3,FALSE)),0,VLOOKUP(K290,'Efficiency Lookup'!$D$2:$G$35,3,FALSE))</f>
        <v>0.2</v>
      </c>
      <c r="AH290" s="139">
        <f>S290*AG290</f>
        <v>54.788943255697021</v>
      </c>
      <c r="AI290" s="521">
        <f>IF(U290="RR",IF((0.0308*(W290^5)-0.2562*(W290^4)+0.8634*(W290^3)-1.5285*(W290^2)+1.501*W290-0.013)&gt;0.7,0.7,IF((0.0308*(W290^5)-0.2562*(W290^4)+0.8634*(W290^3)-1.5285*(W290^2)+1.501*W290-0.013)&lt;0,0,(0.0308*(W290^5)-0.2562*(W290^4)+0.8634*(W290^3)-1.5285*(W290^2)+1.501*W290-0.013))),IF((0.0152*(W290^5)-0.131*(W290^4)+0.4581*(W290^3)-0.8418*(W290^2)+0.8536*W290-0.0046)&gt;0.65,0.65,IF((0.0152*(W290^5)-0.131*(W290^4)+0.4581*(W290^3)-0.8418*(W290^2)+0.8536*W290-0.0046)&lt;0,0,(0.0152*(W290^5)-0.131*(W290^4)+0.4581*(W290^3)-0.8418*(W290^2)+0.8536*W290-0.0046))))</f>
        <v>0.36354997061694622</v>
      </c>
      <c r="AJ290" s="1005">
        <f>S290*AI290</f>
        <v>99.592593553710927</v>
      </c>
      <c r="AK290" s="416">
        <f t="shared" si="96"/>
        <v>99.592593553710927</v>
      </c>
      <c r="AL290" s="634">
        <f>IF(ISNA(VLOOKUP(K290,'Efficiency Lookup'!$D$2:$G$35,4,FALSE)),0,VLOOKUP(K290,'Efficiency Lookup'!$D$2:$G$35,4,FALSE))</f>
        <v>0.6</v>
      </c>
      <c r="AM290" s="139">
        <f>T290*AL290</f>
        <v>8590.1026811448264</v>
      </c>
      <c r="AN290" s="521">
        <f>IF(U290="RR",IF((0.0326*(W290^5)-0.2806*(W290^4)+0.9816*(W290^3)-1.8039*(W290^2)+1.8292*W290-0.0098)&gt;0.85,0.85,IF((0.0326*(W290^5)-0.2806*(W290^4)+0.9816*(W290^3)-1.8039*(W290^2)+1.8292*W290-0.0098)&lt;0,0,(0.0326*(W290^5)-0.2806*(W290^4)+0.9816*(W290^3)-1.8039*(W290^2)+1.8292*W290-0.0098))),IF((0.0304*(W290^5)-0.2619*(W290^4)+0.9161*(W290^3)-1.6837*(W290^2)+1.7072*W290-0.0091)&gt;0.8,0.8,IF((0.0304*(W290^5)-0.2619*(W290^4)+0.9161*(W290^3)-1.6837*(W290^2)+1.7072*W290-0.0091)&lt;0,0,(0.0304*(W290^5)-0.2619*(W290^4)+0.9161*(W290^3)-1.6837*(W290^2)+1.7072*W290-0.0091))))</f>
        <v>0.72709026922574715</v>
      </c>
      <c r="AO290" s="1005">
        <f>T290*AN290</f>
        <v>10409.633451850674</v>
      </c>
      <c r="AP290" s="647">
        <f>IF(AK290=AH290,AM290,AO290)</f>
        <v>10409.633451850674</v>
      </c>
      <c r="AQ290" s="789">
        <f>IF(AF290&lt;0,0,AF290)</f>
        <v>13.919592534205595</v>
      </c>
      <c r="AR290" s="789">
        <f>IF(AK290&lt;0,0,AK290)</f>
        <v>99.592593553710927</v>
      </c>
      <c r="AS290" s="790">
        <f>IF(AP290&lt;0,0,AP290)</f>
        <v>10409.633451850674</v>
      </c>
    </row>
    <row r="291" spans="1:45" x14ac:dyDescent="0.25">
      <c r="A291" s="261"/>
      <c r="B291" s="510" t="s">
        <v>297</v>
      </c>
      <c r="C291" s="510" t="s">
        <v>297</v>
      </c>
      <c r="D291" s="510" t="s">
        <v>297</v>
      </c>
      <c r="E291" s="511"/>
      <c r="F291" s="705"/>
      <c r="G291" s="510"/>
      <c r="H291" s="511"/>
      <c r="I291" s="261" t="str">
        <f>IF(G291="","",IF(G291="Proprietary","Filterra","Clearinghouse Not Used"))</f>
        <v/>
      </c>
      <c r="J291" s="511"/>
      <c r="K291" s="511"/>
      <c r="L291" s="510"/>
      <c r="M291" s="510"/>
      <c r="N291" s="672"/>
      <c r="O291" s="514"/>
      <c r="P291" s="514" t="s">
        <v>297</v>
      </c>
      <c r="Q291" s="688"/>
      <c r="R291" s="674"/>
      <c r="S291" s="674"/>
      <c r="T291" s="674"/>
      <c r="U291" s="1022"/>
      <c r="V291" s="514"/>
      <c r="W291" s="675"/>
      <c r="X291" s="636" t="str">
        <f t="shared" si="119"/>
        <v/>
      </c>
      <c r="Y291" s="706"/>
      <c r="Z291" s="640"/>
      <c r="AA291" s="1022"/>
      <c r="AB291" s="637"/>
      <c r="AC291" s="637"/>
      <c r="AD291" s="637"/>
      <c r="AE291" s="139"/>
      <c r="AF291" s="642"/>
      <c r="AG291" s="583"/>
      <c r="AH291" s="139"/>
      <c r="AI291" s="637"/>
      <c r="AJ291" s="139"/>
      <c r="AK291" s="416" t="str">
        <f t="shared" si="96"/>
        <v/>
      </c>
      <c r="AL291" s="642"/>
      <c r="AM291" s="637"/>
      <c r="AN291" s="637"/>
      <c r="AO291" s="139"/>
      <c r="AP291" s="647"/>
      <c r="AQ291" s="789"/>
      <c r="AR291" s="789"/>
      <c r="AS291" s="790"/>
    </row>
    <row r="292" spans="1:45" x14ac:dyDescent="0.25">
      <c r="A292" s="628"/>
      <c r="B292" s="668" t="s">
        <v>297</v>
      </c>
      <c r="C292" s="668" t="s">
        <v>297</v>
      </c>
      <c r="D292" s="668" t="s">
        <v>297</v>
      </c>
      <c r="E292" s="710"/>
      <c r="F292" s="711"/>
      <c r="G292" s="668"/>
      <c r="H292" s="712"/>
      <c r="I292" s="712" t="str">
        <f>IF(G292="","",IF(G292="Proprietary","Filterra","Clearinghouse Not Used"))</f>
        <v/>
      </c>
      <c r="J292" s="712"/>
      <c r="K292" s="712"/>
      <c r="L292" s="712"/>
      <c r="M292" s="712"/>
      <c r="N292" s="712"/>
      <c r="O292" s="712"/>
      <c r="P292" s="712"/>
      <c r="Q292" s="712"/>
      <c r="R292" s="712"/>
      <c r="S292" s="712"/>
      <c r="T292" s="712"/>
      <c r="U292" s="712"/>
      <c r="V292" s="712"/>
      <c r="W292" s="712"/>
      <c r="X292" s="760" t="str">
        <f t="shared" si="119"/>
        <v/>
      </c>
      <c r="Y292" s="713"/>
      <c r="Z292" s="712"/>
      <c r="AA292" s="712"/>
      <c r="AB292" s="638"/>
      <c r="AC292" s="638"/>
      <c r="AD292" s="638"/>
      <c r="AE292" s="629"/>
      <c r="AF292" s="666"/>
      <c r="AG292" s="666"/>
      <c r="AH292" s="629"/>
      <c r="AI292" s="638"/>
      <c r="AJ292" s="629"/>
      <c r="AK292" s="639" t="str">
        <f t="shared" si="96"/>
        <v/>
      </c>
      <c r="AL292" s="644"/>
      <c r="AM292" s="638"/>
      <c r="AN292" s="638"/>
      <c r="AO292" s="629"/>
      <c r="AP292" s="648"/>
      <c r="AQ292" s="791"/>
      <c r="AR292" s="791"/>
      <c r="AS292" s="792"/>
    </row>
    <row r="293" spans="1:45" ht="14.45" customHeight="1" x14ac:dyDescent="0.25">
      <c r="A293" s="261"/>
      <c r="B293" s="510" t="s">
        <v>297</v>
      </c>
      <c r="C293" s="510" t="s">
        <v>297</v>
      </c>
      <c r="D293" s="510" t="s">
        <v>297</v>
      </c>
      <c r="E293" s="704"/>
      <c r="F293" s="705"/>
      <c r="G293" s="510"/>
      <c r="H293" s="511"/>
      <c r="I293" s="261" t="str">
        <f>IF(G293="","",IF(G293="Proprietary","Filterra","Clearinghouse Not Used"))</f>
        <v/>
      </c>
      <c r="J293" s="511"/>
      <c r="K293" s="511"/>
      <c r="L293" s="510"/>
      <c r="M293" s="510"/>
      <c r="N293" s="672"/>
      <c r="O293" s="514"/>
      <c r="P293" s="514" t="s">
        <v>297</v>
      </c>
      <c r="Q293" s="688"/>
      <c r="R293" s="674"/>
      <c r="S293" s="674"/>
      <c r="T293" s="674"/>
      <c r="U293" s="1022"/>
      <c r="V293" s="514"/>
      <c r="W293" s="675"/>
      <c r="X293" s="636" t="str">
        <f t="shared" si="119"/>
        <v/>
      </c>
      <c r="Y293" s="706"/>
      <c r="Z293" s="640"/>
      <c r="AA293" s="1022"/>
      <c r="AB293" s="637"/>
      <c r="AC293" s="637"/>
      <c r="AD293" s="637"/>
      <c r="AE293" s="139"/>
      <c r="AF293" s="642"/>
      <c r="AG293" s="583"/>
      <c r="AH293" s="139"/>
      <c r="AI293" s="637"/>
      <c r="AJ293" s="139"/>
      <c r="AK293" s="416" t="str">
        <f t="shared" si="96"/>
        <v/>
      </c>
      <c r="AL293" s="642"/>
      <c r="AM293" s="637"/>
      <c r="AN293" s="637"/>
      <c r="AO293" s="139"/>
      <c r="AP293" s="647"/>
      <c r="AQ293" s="789"/>
      <c r="AR293" s="789"/>
      <c r="AS293" s="790"/>
    </row>
    <row r="294" spans="1:45" ht="37.9" customHeight="1" x14ac:dyDescent="0.25">
      <c r="A294" s="261" t="s">
        <v>729</v>
      </c>
      <c r="B294" s="510">
        <v>38.130707999999998</v>
      </c>
      <c r="C294" s="510">
        <v>-78.435361</v>
      </c>
      <c r="D294" s="510" t="s">
        <v>286</v>
      </c>
      <c r="E294" s="511">
        <v>84.01</v>
      </c>
      <c r="F294" s="669">
        <v>40007</v>
      </c>
      <c r="G294" s="510" t="s">
        <v>289</v>
      </c>
      <c r="H294" s="511" t="s">
        <v>730</v>
      </c>
      <c r="I294" s="511" t="s">
        <v>352</v>
      </c>
      <c r="J294" s="511"/>
      <c r="K294" s="511"/>
      <c r="L294" s="261"/>
      <c r="M294" s="671">
        <f t="shared" ref="M294:M299" si="120">N294+O294+P294</f>
        <v>0.62283574653520002</v>
      </c>
      <c r="N294" s="672">
        <v>0.57276559694600004</v>
      </c>
      <c r="O294" s="514">
        <v>5.0070149589199996E-2</v>
      </c>
      <c r="P294" s="514">
        <v>0</v>
      </c>
      <c r="Q294" s="673">
        <f t="shared" ref="Q294:Q299" si="121">+N294/M294</f>
        <v>0.91960938358509869</v>
      </c>
      <c r="R294" s="674">
        <f t="shared" ref="R294:R299" si="122">IF(L293="TT",(1.76*N294+0.5*O294+0.13*P294)-AF293,1.76*N294+0.5*O294+0.13*P294)</f>
        <v>1.03310252541956</v>
      </c>
      <c r="S294" s="674">
        <f t="shared" ref="S294:S299" si="123">IF(L293="TT",(M294*9.39+N294*6.99+O294*2.36)-AK293,M294*9.39+N294*6.99+O294*2.36)</f>
        <v>9.9702247356485802</v>
      </c>
      <c r="T294" s="674">
        <f t="shared" ref="T294:T299" si="124">IF(L293="TT",(M294*676.94+N294*101.08+O294*77.38)-AP293,M294*676.94+N294*101.08+O294*77.38)</f>
        <v>483.39200497405233</v>
      </c>
      <c r="U294" s="1022" t="s">
        <v>278</v>
      </c>
      <c r="V294" s="514">
        <v>25.4</v>
      </c>
      <c r="W294" s="675">
        <f t="shared" ref="W294:W299" si="125">IF(V294="NA", 0, (V294)*12/N294/43560)</f>
        <v>1.2216594740279165E-2</v>
      </c>
      <c r="X294" s="636">
        <f t="shared" si="119"/>
        <v>0.45</v>
      </c>
      <c r="Y294" s="706">
        <f t="shared" ref="Y294:Y299" si="126">IF(X294="NA",0,R294*X294)</f>
        <v>0.46489613643880201</v>
      </c>
      <c r="Z294" s="635">
        <f>IF(ISNA(VLOOKUP(J294,'Efficiency Lookup'!$B$2:$C$38,2,FALSE)),0,(VLOOKUP(J294,'Efficiency Lookup'!$B$2:$C$38,2,FALSE)))</f>
        <v>0</v>
      </c>
      <c r="AA294" s="139">
        <f t="shared" ref="AA294:AA299" si="127">R294*Z294</f>
        <v>0</v>
      </c>
      <c r="AB294" s="635">
        <f>IF(ISNA(VLOOKUP(K294,'Efficiency Lookup'!$D$2:$E$35,2,FALSE)),0,VLOOKUP(K294,'Efficiency Lookup'!$D$2:$E$35,2,FALSE))</f>
        <v>0</v>
      </c>
      <c r="AC294" s="139">
        <f t="shared" ref="AC294:AC299" si="128">R294*AB294</f>
        <v>0</v>
      </c>
      <c r="AD294" s="637">
        <f t="shared" ref="AD294:AD299" si="129">IF(U294="RR",IF((0.0304*(W294^5)-0.2619*(W294^4)+0.9161*(W294^3)-1.6837*(W294^2)+1.7072*W294-0.0091)&gt;0.85,0.85,IF((0.0304*(W294^5)-0.2619*(W294^4)+0.9161*(W294^3)-1.6837*(W294^2)+1.7072*W294-0.0091)&lt;0,0,(0.0304*(W294^5)-0.2619*(W294^4)+0.9161*(W294^3)-1.6837*(W294^2)+1.7072*W294-0.0091))),IF((0.0239*(W294^5)-0.2058*(W294^4)+0.7198*(W294^3)-1.3229*(W294^2)+1.3414*W294-0.0072)&gt;0.65,0.65,IF((0.0239*(W294^5)-0.2058*(W294^4)+0.7198*(W294^3)-1.3229*(W294^2)+1.3414*W294-0.0072)&lt;0,0,(0.0239*(W294^5)-0.2058*(W294^4)+0.7198*(W294^3)-1.3229*(W294^2)+1.3414*W294-0.0072))))</f>
        <v>8.9912115374355273E-3</v>
      </c>
      <c r="AE294" s="139">
        <f t="shared" ref="AE294:AE299" si="130">R294*AD294</f>
        <v>9.2888433459061281E-3</v>
      </c>
      <c r="AF294" s="516">
        <f t="shared" ref="AF294:AF299" si="131">MAX(Y294,AA294,AC294,AE294)</f>
        <v>0.46489613643880201</v>
      </c>
      <c r="AG294" s="634">
        <f>IF(ISNA(VLOOKUP(K294,'Efficiency Lookup'!$D$2:$G$35,3,FALSE)),0,VLOOKUP(K294,'Efficiency Lookup'!$D$2:$G$35,3,FALSE))</f>
        <v>0</v>
      </c>
      <c r="AH294" s="139">
        <f t="shared" ref="AH294:AH299" si="132">S294*AG294</f>
        <v>0</v>
      </c>
      <c r="AI294" s="521">
        <f t="shared" ref="AI294:AI299" si="133">IF(U294="RR",IF((0.0308*(W294^5)-0.2562*(W294^4)+0.8634*(W294^3)-1.5285*(W294^2)+1.501*W294-0.013)&gt;0.7,0.7,IF((0.0308*(W294^5)-0.2562*(W294^4)+0.8634*(W294^3)-1.5285*(W294^2)+1.501*W294-0.013)&lt;0,0,(0.0308*(W294^5)-0.2562*(W294^4)+0.8634*(W294^3)-1.5285*(W294^2)+1.501*W294-0.013))),IF((0.0152*(W294^5)-0.131*(W294^4)+0.4581*(W294^3)-0.8418*(W294^2)+0.8536*W294-0.0046)&gt;0.65,0.65,IF((0.0152*(W294^5)-0.131*(W294^4)+0.4581*(W294^3)-0.8418*(W294^2)+0.8536*W294-0.0046)&lt;0,0,(0.0152*(W294^5)-0.131*(W294^4)+0.4581*(W294^3)-0.8418*(W294^2)+0.8536*W294-0.0046))))</f>
        <v>5.7032829971264843E-3</v>
      </c>
      <c r="AJ294" s="1005">
        <f t="shared" ref="AJ294:AJ299" si="134">S294*AI294</f>
        <v>5.6863013212354444E-2</v>
      </c>
      <c r="AK294" s="416">
        <f t="shared" si="96"/>
        <v>5.6863013212354444E-2</v>
      </c>
      <c r="AL294" s="634">
        <f>IF(ISNA(VLOOKUP(K294,'Efficiency Lookup'!$D$2:$G$35,4,FALSE)),0,VLOOKUP(K294,'Efficiency Lookup'!$D$2:$G$35,4,FALSE))</f>
        <v>0</v>
      </c>
      <c r="AM294" s="139">
        <f t="shared" ref="AM294:AM299" si="135">T294*AL294</f>
        <v>0</v>
      </c>
      <c r="AN294" s="521">
        <f t="shared" ref="AN294:AN299" si="136">IF(U294="RR",IF((0.0326*(W294^5)-0.2806*(W294^4)+0.9816*(W294^3)-1.8039*(W294^2)+1.8292*W294-0.0098)&gt;0.85,0.85,IF((0.0326*(W294^5)-0.2806*(W294^4)+0.9816*(W294^3)-1.8039*(W294^2)+1.8292*W294-0.0098)&lt;0,0,(0.0326*(W294^5)-0.2806*(W294^4)+0.9816*(W294^3)-1.8039*(W294^2)+1.8292*W294-0.0098))),IF((0.0304*(W294^5)-0.2619*(W294^4)+0.9161*(W294^3)-1.6837*(W294^2)+1.7072*W294-0.0091)&gt;0.8,0.8,IF((0.0304*(W294^5)-0.2619*(W294^4)+0.9161*(W294^3)-1.6837*(W294^2)+1.7072*W294-0.0091)&lt;0,0,(0.0304*(W294^5)-0.2619*(W294^4)+0.9161*(W294^3)-1.6837*(W294^2)+1.7072*W294-0.0091))))</f>
        <v>1.1506550889634877E-2</v>
      </c>
      <c r="AO294" s="1005">
        <f t="shared" ref="AO294:AO299" si="137">T294*AN294</f>
        <v>5.5621747048765684</v>
      </c>
      <c r="AP294" s="647">
        <f t="shared" ref="AP294:AP299" si="138">IF(AK294=AH294,AM294,AO294)</f>
        <v>5.5621747048765684</v>
      </c>
      <c r="AQ294" s="789">
        <f t="shared" ref="AQ294:AQ299" si="139">IF(AF294&lt;0,0,AF294)</f>
        <v>0.46489613643880201</v>
      </c>
      <c r="AR294" s="789">
        <f t="shared" ref="AR294:AR299" si="140">IF(AK294&lt;0,0,AK294)</f>
        <v>5.6863013212354444E-2</v>
      </c>
      <c r="AS294" s="790">
        <f t="shared" ref="AS294:AS299" si="141">IF(AP294&lt;0,0,AP294)</f>
        <v>5.5621747048765684</v>
      </c>
    </row>
    <row r="295" spans="1:45" ht="37.9" customHeight="1" x14ac:dyDescent="0.25">
      <c r="A295" s="261"/>
      <c r="B295" s="510">
        <v>38.130842000000001</v>
      </c>
      <c r="C295" s="510">
        <v>-78.435772999999998</v>
      </c>
      <c r="D295" s="510" t="s">
        <v>286</v>
      </c>
      <c r="E295" s="511">
        <v>84.02</v>
      </c>
      <c r="F295" s="669">
        <v>40007</v>
      </c>
      <c r="G295" s="510" t="s">
        <v>289</v>
      </c>
      <c r="H295" s="511" t="s">
        <v>730</v>
      </c>
      <c r="I295" s="511" t="s">
        <v>352</v>
      </c>
      <c r="J295" s="511"/>
      <c r="K295" s="511"/>
      <c r="L295" s="261" t="s">
        <v>292</v>
      </c>
      <c r="M295" s="671">
        <f t="shared" si="120"/>
        <v>3.8021557673769996E-2</v>
      </c>
      <c r="N295" s="672">
        <v>3.1820653944999999E-2</v>
      </c>
      <c r="O295" s="514">
        <v>6.2009037287699999E-3</v>
      </c>
      <c r="P295" s="514">
        <v>0</v>
      </c>
      <c r="Q295" s="673">
        <f t="shared" si="121"/>
        <v>0.83691084457994669</v>
      </c>
      <c r="R295" s="674">
        <f t="shared" si="122"/>
        <v>5.9104802807584997E-2</v>
      </c>
      <c r="S295" s="674">
        <f t="shared" si="123"/>
        <v>0.59408293043214755</v>
      </c>
      <c r="T295" s="674">
        <f t="shared" si="124"/>
        <v>29.434570882974683</v>
      </c>
      <c r="U295" s="1022" t="s">
        <v>278</v>
      </c>
      <c r="V295" s="514">
        <v>25.4</v>
      </c>
      <c r="W295" s="675">
        <f t="shared" si="125"/>
        <v>0.21989633497657399</v>
      </c>
      <c r="X295" s="636">
        <f t="shared" si="119"/>
        <v>0.45</v>
      </c>
      <c r="Y295" s="706">
        <f t="shared" si="126"/>
        <v>2.6597161263413251E-2</v>
      </c>
      <c r="Z295" s="635">
        <f>IF(ISNA(VLOOKUP(J295,'Efficiency Lookup'!$B$2:$C$38,2,FALSE)),0,(VLOOKUP(J295,'Efficiency Lookup'!$B$2:$C$38,2,FALSE)))</f>
        <v>0</v>
      </c>
      <c r="AA295" s="139">
        <f t="shared" si="127"/>
        <v>0</v>
      </c>
      <c r="AB295" s="635">
        <f>IF(ISNA(VLOOKUP(K295,'Efficiency Lookup'!$D$2:$E$35,2,FALSE)),0,VLOOKUP(K295,'Efficiency Lookup'!$D$2:$E$35,2,FALSE))</f>
        <v>0</v>
      </c>
      <c r="AC295" s="139">
        <f t="shared" si="128"/>
        <v>0</v>
      </c>
      <c r="AD295" s="637">
        <f t="shared" si="129"/>
        <v>0.23098560876907956</v>
      </c>
      <c r="AE295" s="139">
        <f t="shared" si="130"/>
        <v>1.3652358857686423E-2</v>
      </c>
      <c r="AF295" s="516">
        <f t="shared" si="131"/>
        <v>2.6597161263413251E-2</v>
      </c>
      <c r="AG295" s="634">
        <f>IF(ISNA(VLOOKUP(K295,'Efficiency Lookup'!$D$2:$G$35,3,FALSE)),0,VLOOKUP(K295,'Efficiency Lookup'!$D$2:$G$35,3,FALSE))</f>
        <v>0</v>
      </c>
      <c r="AH295" s="139">
        <f t="shared" si="132"/>
        <v>0</v>
      </c>
      <c r="AI295" s="521">
        <f t="shared" si="133"/>
        <v>0.14697125355626856</v>
      </c>
      <c r="AJ295" s="1005">
        <f t="shared" si="134"/>
        <v>8.7313113001994208E-2</v>
      </c>
      <c r="AK295" s="416">
        <f t="shared" si="96"/>
        <v>8.7313113001994208E-2</v>
      </c>
      <c r="AL295" s="634">
        <f>IF(ISNA(VLOOKUP(K295,'Efficiency Lookup'!$D$2:$G$35,4,FALSE)),0,VLOOKUP(K295,'Efficiency Lookup'!$D$2:$G$35,4,FALSE))</f>
        <v>0</v>
      </c>
      <c r="AM295" s="139">
        <f t="shared" si="135"/>
        <v>0</v>
      </c>
      <c r="AN295" s="521">
        <f t="shared" si="136"/>
        <v>0.29403684219201237</v>
      </c>
      <c r="AO295" s="1005">
        <f t="shared" si="137"/>
        <v>8.6548482737068291</v>
      </c>
      <c r="AP295" s="647">
        <f t="shared" si="138"/>
        <v>8.6548482737068291</v>
      </c>
      <c r="AQ295" s="789">
        <f t="shared" si="139"/>
        <v>2.6597161263413251E-2</v>
      </c>
      <c r="AR295" s="789">
        <f t="shared" si="140"/>
        <v>8.7313113001994208E-2</v>
      </c>
      <c r="AS295" s="790">
        <f t="shared" si="141"/>
        <v>8.6548482737068291</v>
      </c>
    </row>
    <row r="296" spans="1:45" ht="37.9" customHeight="1" x14ac:dyDescent="0.25">
      <c r="A296" s="261"/>
      <c r="B296" s="510">
        <v>38.130944</v>
      </c>
      <c r="C296" s="510">
        <v>-78.435982999999993</v>
      </c>
      <c r="D296" s="510" t="s">
        <v>286</v>
      </c>
      <c r="E296" s="511">
        <v>84.03</v>
      </c>
      <c r="F296" s="669">
        <v>40007</v>
      </c>
      <c r="G296" s="510" t="s">
        <v>289</v>
      </c>
      <c r="H296" s="511" t="s">
        <v>730</v>
      </c>
      <c r="I296" s="511" t="s">
        <v>352</v>
      </c>
      <c r="J296" s="511"/>
      <c r="K296" s="511"/>
      <c r="L296" s="261" t="s">
        <v>292</v>
      </c>
      <c r="M296" s="671">
        <f t="shared" si="120"/>
        <v>7.5357270771669996E-2</v>
      </c>
      <c r="N296" s="672">
        <v>6.3820178604200001E-2</v>
      </c>
      <c r="O296" s="514">
        <v>1.153709216747E-2</v>
      </c>
      <c r="P296" s="514">
        <v>0</v>
      </c>
      <c r="Q296" s="673">
        <f t="shared" si="121"/>
        <v>0.84690140646909839</v>
      </c>
      <c r="R296" s="674">
        <f t="shared" si="122"/>
        <v>9.1494899163713755E-2</v>
      </c>
      <c r="S296" s="674">
        <f t="shared" si="123"/>
        <v>1.0936222455025744</v>
      </c>
      <c r="T296" s="674">
        <f t="shared" si="124"/>
        <v>49.701186447698817</v>
      </c>
      <c r="U296" s="1022" t="s">
        <v>278</v>
      </c>
      <c r="V296" s="514">
        <v>25.4</v>
      </c>
      <c r="W296" s="675">
        <f t="shared" si="125"/>
        <v>0.10964001248662868</v>
      </c>
      <c r="X296" s="636">
        <f t="shared" si="119"/>
        <v>0.45</v>
      </c>
      <c r="Y296" s="706">
        <f t="shared" si="126"/>
        <v>4.1172704623671189E-2</v>
      </c>
      <c r="Z296" s="635">
        <f>IF(ISNA(VLOOKUP(J296,'Efficiency Lookup'!$B$2:$C$38,2,FALSE)),0,(VLOOKUP(J296,'Efficiency Lookup'!$B$2:$C$38,2,FALSE)))</f>
        <v>0</v>
      </c>
      <c r="AA296" s="139">
        <f t="shared" si="127"/>
        <v>0</v>
      </c>
      <c r="AB296" s="635">
        <f>IF(ISNA(VLOOKUP(K296,'Efficiency Lookup'!$D$2:$E$35,2,FALSE)),0,VLOOKUP(K296,'Efficiency Lookup'!$D$2:$E$35,2,FALSE))</f>
        <v>0</v>
      </c>
      <c r="AC296" s="139">
        <f t="shared" si="128"/>
        <v>0</v>
      </c>
      <c r="AD296" s="637">
        <f t="shared" si="129"/>
        <v>0.12488793986354628</v>
      </c>
      <c r="AE296" s="139">
        <f t="shared" si="130"/>
        <v>1.1426609464579114E-2</v>
      </c>
      <c r="AF296" s="516">
        <f t="shared" si="131"/>
        <v>4.1172704623671189E-2</v>
      </c>
      <c r="AG296" s="634">
        <f>IF(ISNA(VLOOKUP(K296,'Efficiency Lookup'!$D$2:$G$35,3,FALSE)),0,VLOOKUP(K296,'Efficiency Lookup'!$D$2:$G$35,3,FALSE))</f>
        <v>0</v>
      </c>
      <c r="AH296" s="139">
        <f t="shared" si="132"/>
        <v>0</v>
      </c>
      <c r="AI296" s="521">
        <f t="shared" si="133"/>
        <v>7.9454569191875157E-2</v>
      </c>
      <c r="AJ296" s="1005">
        <f t="shared" si="134"/>
        <v>8.689328437505818E-2</v>
      </c>
      <c r="AK296" s="416">
        <f t="shared" si="96"/>
        <v>8.689328437505818E-2</v>
      </c>
      <c r="AL296" s="634">
        <f>IF(ISNA(VLOOKUP(K296,'Efficiency Lookup'!$D$2:$G$35,4,FALSE)),0,VLOOKUP(K296,'Efficiency Lookup'!$D$2:$G$35,4,FALSE))</f>
        <v>0</v>
      </c>
      <c r="AM296" s="139">
        <f t="shared" si="135"/>
        <v>0</v>
      </c>
      <c r="AN296" s="521">
        <f t="shared" si="136"/>
        <v>0.15900781894328078</v>
      </c>
      <c r="AO296" s="1005">
        <f t="shared" si="137"/>
        <v>7.9028772559419336</v>
      </c>
      <c r="AP296" s="647">
        <f t="shared" si="138"/>
        <v>7.9028772559419336</v>
      </c>
      <c r="AQ296" s="789">
        <f t="shared" si="139"/>
        <v>4.1172704623671189E-2</v>
      </c>
      <c r="AR296" s="789">
        <f t="shared" si="140"/>
        <v>8.689328437505818E-2</v>
      </c>
      <c r="AS296" s="790">
        <f t="shared" si="141"/>
        <v>7.9028772559419336</v>
      </c>
    </row>
    <row r="297" spans="1:45" ht="37.9" customHeight="1" x14ac:dyDescent="0.25">
      <c r="A297" s="261"/>
      <c r="B297" s="510">
        <v>38.131176000000004</v>
      </c>
      <c r="C297" s="510">
        <v>-78.436068000000006</v>
      </c>
      <c r="D297" s="510" t="s">
        <v>286</v>
      </c>
      <c r="E297" s="511">
        <v>84.04</v>
      </c>
      <c r="F297" s="669">
        <v>40007</v>
      </c>
      <c r="G297" s="510" t="s">
        <v>289</v>
      </c>
      <c r="H297" s="511" t="s">
        <v>730</v>
      </c>
      <c r="I297" s="511" t="s">
        <v>352</v>
      </c>
      <c r="J297" s="511"/>
      <c r="K297" s="511"/>
      <c r="L297" s="261" t="s">
        <v>292</v>
      </c>
      <c r="M297" s="671">
        <f t="shared" si="120"/>
        <v>0.21776188024070001</v>
      </c>
      <c r="N297" s="672">
        <v>0.19831844831520001</v>
      </c>
      <c r="O297" s="514">
        <v>1.94434319255E-2</v>
      </c>
      <c r="P297" s="514">
        <v>0</v>
      </c>
      <c r="Q297" s="673">
        <f t="shared" si="121"/>
        <v>0.91071241714110629</v>
      </c>
      <c r="R297" s="674">
        <f t="shared" si="122"/>
        <v>0.31758948037383083</v>
      </c>
      <c r="S297" s="674">
        <f t="shared" si="123"/>
        <v>3.3900232241525434</v>
      </c>
      <c r="T297" s="674">
        <f t="shared" si="124"/>
        <v>161.05941147229314</v>
      </c>
      <c r="U297" s="1022" t="s">
        <v>278</v>
      </c>
      <c r="V297" s="514">
        <v>25.4</v>
      </c>
      <c r="W297" s="675">
        <f t="shared" si="125"/>
        <v>3.5282875791475522E-2</v>
      </c>
      <c r="X297" s="636">
        <f t="shared" si="119"/>
        <v>0.45</v>
      </c>
      <c r="Y297" s="706">
        <f t="shared" si="126"/>
        <v>0.14291526616822389</v>
      </c>
      <c r="Z297" s="635">
        <f>IF(ISNA(VLOOKUP(J297,'Efficiency Lookup'!$B$2:$C$38,2,FALSE)),0,(VLOOKUP(J297,'Efficiency Lookup'!$B$2:$C$38,2,FALSE)))</f>
        <v>0</v>
      </c>
      <c r="AA297" s="139">
        <f t="shared" si="127"/>
        <v>0</v>
      </c>
      <c r="AB297" s="635">
        <f>IF(ISNA(VLOOKUP(K297,'Efficiency Lookup'!$D$2:$E$35,2,FALSE)),0,VLOOKUP(K297,'Efficiency Lookup'!$D$2:$E$35,2,FALSE))</f>
        <v>0</v>
      </c>
      <c r="AC297" s="139">
        <f t="shared" si="128"/>
        <v>0</v>
      </c>
      <c r="AD297" s="637">
        <f t="shared" si="129"/>
        <v>3.8512894225961755E-2</v>
      </c>
      <c r="AE297" s="139">
        <f t="shared" si="130"/>
        <v>1.2231290064915504E-2</v>
      </c>
      <c r="AF297" s="516">
        <f t="shared" si="131"/>
        <v>0.14291526616822389</v>
      </c>
      <c r="AG297" s="634">
        <f>IF(ISNA(VLOOKUP(K297,'Efficiency Lookup'!$D$2:$G$35,3,FALSE)),0,VLOOKUP(K297,'Efficiency Lookup'!$D$2:$G$35,3,FALSE))</f>
        <v>0</v>
      </c>
      <c r="AH297" s="139">
        <f t="shared" si="132"/>
        <v>0</v>
      </c>
      <c r="AI297" s="521">
        <f t="shared" si="133"/>
        <v>2.4489440616670265E-2</v>
      </c>
      <c r="AJ297" s="1005">
        <f t="shared" si="134"/>
        <v>8.3019772437016776E-2</v>
      </c>
      <c r="AK297" s="416">
        <f t="shared" si="96"/>
        <v>8.3019772437016776E-2</v>
      </c>
      <c r="AL297" s="634">
        <f>IF(ISNA(VLOOKUP(K297,'Efficiency Lookup'!$D$2:$G$35,4,FALSE)),0,VLOOKUP(K297,'Efficiency Lookup'!$D$2:$G$35,4,FALSE))</f>
        <v>0</v>
      </c>
      <c r="AM297" s="139">
        <f t="shared" si="135"/>
        <v>0</v>
      </c>
      <c r="AN297" s="521">
        <f t="shared" si="136"/>
        <v>4.9078752507881754E-2</v>
      </c>
      <c r="AO297" s="1005">
        <f t="shared" si="137"/>
        <v>7.9045949947137659</v>
      </c>
      <c r="AP297" s="647">
        <f t="shared" si="138"/>
        <v>7.9045949947137659</v>
      </c>
      <c r="AQ297" s="789">
        <f t="shared" si="139"/>
        <v>0.14291526616822389</v>
      </c>
      <c r="AR297" s="789">
        <f t="shared" si="140"/>
        <v>8.3019772437016776E-2</v>
      </c>
      <c r="AS297" s="790">
        <f t="shared" si="141"/>
        <v>7.9045949947137659</v>
      </c>
    </row>
    <row r="298" spans="1:45" ht="37.9" customHeight="1" x14ac:dyDescent="0.25">
      <c r="A298" s="261"/>
      <c r="B298" s="510">
        <v>38.131365000000002</v>
      </c>
      <c r="C298" s="510">
        <v>-78.435856999999999</v>
      </c>
      <c r="D298" s="510" t="s">
        <v>286</v>
      </c>
      <c r="E298" s="511">
        <v>84.05</v>
      </c>
      <c r="F298" s="669">
        <v>40007</v>
      </c>
      <c r="G298" s="510" t="s">
        <v>289</v>
      </c>
      <c r="H298" s="511" t="s">
        <v>730</v>
      </c>
      <c r="I298" s="511" t="s">
        <v>352</v>
      </c>
      <c r="J298" s="511"/>
      <c r="K298" s="511"/>
      <c r="L298" s="261"/>
      <c r="M298" s="671">
        <f t="shared" si="120"/>
        <v>0.33786823126186</v>
      </c>
      <c r="N298" s="672">
        <v>0.30896655048420002</v>
      </c>
      <c r="O298" s="514">
        <v>2.8901680777660001E-2</v>
      </c>
      <c r="P298" s="514">
        <v>0</v>
      </c>
      <c r="Q298" s="673">
        <f t="shared" si="121"/>
        <v>0.9144587205795619</v>
      </c>
      <c r="R298" s="674">
        <f t="shared" si="122"/>
        <v>0.41531670307279811</v>
      </c>
      <c r="S298" s="674">
        <f t="shared" si="123"/>
        <v>5.3174470736316843</v>
      </c>
      <c r="T298" s="674">
        <f t="shared" si="124"/>
        <v>254.27867645720806</v>
      </c>
      <c r="U298" s="1022" t="s">
        <v>278</v>
      </c>
      <c r="V298" s="514">
        <v>25.4</v>
      </c>
      <c r="W298" s="675">
        <f t="shared" si="125"/>
        <v>2.2647257989894237E-2</v>
      </c>
      <c r="X298" s="636">
        <f t="shared" si="119"/>
        <v>0.45</v>
      </c>
      <c r="Y298" s="706">
        <f t="shared" si="126"/>
        <v>0.18689251638275917</v>
      </c>
      <c r="Z298" s="635">
        <f>IF(ISNA(VLOOKUP(J298,'Efficiency Lookup'!$B$2:$C$38,2,FALSE)),0,(VLOOKUP(J298,'Efficiency Lookup'!$B$2:$C$38,2,FALSE)))</f>
        <v>0</v>
      </c>
      <c r="AA298" s="139">
        <f t="shared" si="127"/>
        <v>0</v>
      </c>
      <c r="AB298" s="635">
        <f>IF(ISNA(VLOOKUP(K298,'Efficiency Lookup'!$D$2:$E$35,2,FALSE)),0,VLOOKUP(K298,'Efficiency Lookup'!$D$2:$E$35,2,FALSE))</f>
        <v>0</v>
      </c>
      <c r="AC298" s="139">
        <f t="shared" si="128"/>
        <v>0</v>
      </c>
      <c r="AD298" s="637">
        <f t="shared" si="129"/>
        <v>2.2508825727233651E-2</v>
      </c>
      <c r="AE298" s="139">
        <f t="shared" si="130"/>
        <v>9.3482912910748568E-3</v>
      </c>
      <c r="AF298" s="516">
        <f t="shared" si="131"/>
        <v>0.18689251638275917</v>
      </c>
      <c r="AG298" s="634">
        <f>IF(ISNA(VLOOKUP(K298,'Efficiency Lookup'!$D$2:$G$35,3,FALSE)),0,VLOOKUP(K298,'Efficiency Lookup'!$D$2:$G$35,3,FALSE))</f>
        <v>0</v>
      </c>
      <c r="AH298" s="139">
        <f t="shared" si="132"/>
        <v>0</v>
      </c>
      <c r="AI298" s="521">
        <f t="shared" si="133"/>
        <v>1.4305228435475742E-2</v>
      </c>
      <c r="AJ298" s="1005">
        <f t="shared" si="134"/>
        <v>7.606729508185324E-2</v>
      </c>
      <c r="AK298" s="416">
        <f t="shared" si="96"/>
        <v>7.606729508185324E-2</v>
      </c>
      <c r="AL298" s="634">
        <f>IF(ISNA(VLOOKUP(K298,'Efficiency Lookup'!$D$2:$G$35,4,FALSE)),0,VLOOKUP(K298,'Efficiency Lookup'!$D$2:$G$35,4,FALSE))</f>
        <v>0</v>
      </c>
      <c r="AM298" s="139">
        <f t="shared" si="135"/>
        <v>0</v>
      </c>
      <c r="AN298" s="521">
        <f t="shared" si="136"/>
        <v>2.8710404445854504E-2</v>
      </c>
      <c r="AO298" s="1005">
        <f t="shared" si="137"/>
        <v>7.3004436430430255</v>
      </c>
      <c r="AP298" s="647">
        <f t="shared" si="138"/>
        <v>7.3004436430430255</v>
      </c>
      <c r="AQ298" s="789">
        <f t="shared" si="139"/>
        <v>0.18689251638275917</v>
      </c>
      <c r="AR298" s="789">
        <f t="shared" si="140"/>
        <v>7.606729508185324E-2</v>
      </c>
      <c r="AS298" s="790">
        <f t="shared" si="141"/>
        <v>7.3004436430430255</v>
      </c>
    </row>
    <row r="299" spans="1:45" ht="37.9" customHeight="1" x14ac:dyDescent="0.25">
      <c r="A299" s="261"/>
      <c r="B299" s="510">
        <v>38.131691000000004</v>
      </c>
      <c r="C299" s="510">
        <v>-78.434517999999997</v>
      </c>
      <c r="D299" s="510" t="s">
        <v>286</v>
      </c>
      <c r="E299" s="511">
        <v>84.07</v>
      </c>
      <c r="F299" s="669">
        <v>40007</v>
      </c>
      <c r="G299" s="510" t="s">
        <v>289</v>
      </c>
      <c r="H299" s="511" t="s">
        <v>731</v>
      </c>
      <c r="I299" s="511" t="s">
        <v>352</v>
      </c>
      <c r="J299" s="511"/>
      <c r="K299" s="511"/>
      <c r="L299" s="261"/>
      <c r="M299" s="671">
        <f t="shared" si="120"/>
        <v>1.5931019481644</v>
      </c>
      <c r="N299" s="672">
        <v>1.4626340821857</v>
      </c>
      <c r="O299" s="514">
        <v>0.1304678659787</v>
      </c>
      <c r="P299" s="514">
        <v>0</v>
      </c>
      <c r="Q299" s="673">
        <f t="shared" si="121"/>
        <v>0.91810450917530584</v>
      </c>
      <c r="R299" s="674">
        <f t="shared" si="122"/>
        <v>2.6394699176361818</v>
      </c>
      <c r="S299" s="674">
        <f t="shared" si="123"/>
        <v>25.490943691451495</v>
      </c>
      <c r="T299" s="674">
        <f t="shared" si="124"/>
        <v>1236.3730892871715</v>
      </c>
      <c r="U299" s="1022" t="s">
        <v>278</v>
      </c>
      <c r="V299" s="514">
        <v>107.25</v>
      </c>
      <c r="W299" s="675">
        <f t="shared" si="125"/>
        <v>2.0200168248030319E-2</v>
      </c>
      <c r="X299" s="636">
        <f t="shared" si="119"/>
        <v>0.45</v>
      </c>
      <c r="Y299" s="706">
        <f t="shared" si="126"/>
        <v>1.1877614629362818</v>
      </c>
      <c r="Z299" s="635">
        <f>IF(ISNA(VLOOKUP(J299,'Efficiency Lookup'!$B$2:$C$38,2,FALSE)),0,(VLOOKUP(J299,'Efficiency Lookup'!$B$2:$C$38,2,FALSE)))</f>
        <v>0</v>
      </c>
      <c r="AA299" s="139">
        <f t="shared" si="127"/>
        <v>0</v>
      </c>
      <c r="AB299" s="635">
        <f>IF(ISNA(VLOOKUP(K299,'Efficiency Lookup'!$D$2:$E$35,2,FALSE)),0,VLOOKUP(K299,'Efficiency Lookup'!$D$2:$E$35,2,FALSE))</f>
        <v>0</v>
      </c>
      <c r="AC299" s="139">
        <f t="shared" si="128"/>
        <v>0</v>
      </c>
      <c r="AD299" s="637">
        <f t="shared" si="129"/>
        <v>1.9362599427588278E-2</v>
      </c>
      <c r="AE299" s="139">
        <f t="shared" si="130"/>
        <v>5.1106998716358813E-2</v>
      </c>
      <c r="AF299" s="516">
        <f t="shared" si="131"/>
        <v>1.1877614629362818</v>
      </c>
      <c r="AG299" s="634">
        <f>IF(ISNA(VLOOKUP(K299,'Efficiency Lookup'!$D$2:$G$35,3,FALSE)),0,VLOOKUP(K299,'Efficiency Lookup'!$D$2:$G$35,3,FALSE))</f>
        <v>0</v>
      </c>
      <c r="AH299" s="139">
        <f t="shared" si="132"/>
        <v>0</v>
      </c>
      <c r="AI299" s="521">
        <f t="shared" si="133"/>
        <v>1.2303124003385159E-2</v>
      </c>
      <c r="AJ299" s="1005">
        <f t="shared" si="134"/>
        <v>0.31361824119923637</v>
      </c>
      <c r="AK299" s="416">
        <f t="shared" si="96"/>
        <v>0.31361824119923637</v>
      </c>
      <c r="AL299" s="634">
        <f>IF(ISNA(VLOOKUP(K299,'Efficiency Lookup'!$D$2:$G$35,4,FALSE)),0,VLOOKUP(K299,'Efficiency Lookup'!$D$2:$G$35,4,FALSE))</f>
        <v>0</v>
      </c>
      <c r="AM299" s="139">
        <f t="shared" si="135"/>
        <v>0</v>
      </c>
      <c r="AN299" s="521">
        <f t="shared" si="136"/>
        <v>2.4706206394479412E-2</v>
      </c>
      <c r="AO299" s="1005">
        <f t="shared" si="137"/>
        <v>30.546088724508984</v>
      </c>
      <c r="AP299" s="647">
        <f t="shared" si="138"/>
        <v>30.546088724508984</v>
      </c>
      <c r="AQ299" s="789">
        <f t="shared" si="139"/>
        <v>1.1877614629362818</v>
      </c>
      <c r="AR299" s="789">
        <f t="shared" si="140"/>
        <v>0.31361824119923637</v>
      </c>
      <c r="AS299" s="790">
        <f t="shared" si="141"/>
        <v>30.546088724508984</v>
      </c>
    </row>
    <row r="300" spans="1:45" ht="16.149999999999999" customHeight="1" x14ac:dyDescent="0.25">
      <c r="A300" s="261"/>
      <c r="B300" s="510" t="s">
        <v>297</v>
      </c>
      <c r="C300" s="510" t="s">
        <v>297</v>
      </c>
      <c r="D300" s="510" t="s">
        <v>297</v>
      </c>
      <c r="E300" s="511"/>
      <c r="F300" s="705"/>
      <c r="G300" s="510"/>
      <c r="H300" s="511"/>
      <c r="I300" s="261" t="str">
        <f>IF(G300="","",IF(G300="Proprietary","Filterra","Clearinghouse Not Used"))</f>
        <v/>
      </c>
      <c r="J300" s="511"/>
      <c r="K300" s="511"/>
      <c r="L300" s="510"/>
      <c r="M300" s="510"/>
      <c r="N300" s="672"/>
      <c r="O300" s="514"/>
      <c r="P300" s="514" t="s">
        <v>297</v>
      </c>
      <c r="Q300" s="688"/>
      <c r="R300" s="674"/>
      <c r="S300" s="674"/>
      <c r="T300" s="674"/>
      <c r="U300" s="1022"/>
      <c r="V300" s="514"/>
      <c r="W300" s="675"/>
      <c r="X300" s="636" t="str">
        <f t="shared" si="119"/>
        <v/>
      </c>
      <c r="Y300" s="706"/>
      <c r="Z300" s="640"/>
      <c r="AA300" s="1022"/>
      <c r="AB300" s="637"/>
      <c r="AC300" s="637"/>
      <c r="AD300" s="637"/>
      <c r="AE300" s="139"/>
      <c r="AF300" s="642"/>
      <c r="AG300" s="583"/>
      <c r="AH300" s="139"/>
      <c r="AI300" s="637"/>
      <c r="AJ300" s="139"/>
      <c r="AK300" s="416" t="str">
        <f t="shared" si="96"/>
        <v/>
      </c>
      <c r="AL300" s="642"/>
      <c r="AM300" s="637"/>
      <c r="AN300" s="637"/>
      <c r="AO300" s="139"/>
      <c r="AP300" s="647"/>
      <c r="AQ300" s="789"/>
      <c r="AR300" s="789"/>
      <c r="AS300" s="790"/>
    </row>
    <row r="301" spans="1:45" x14ac:dyDescent="0.25">
      <c r="A301" s="628"/>
      <c r="B301" s="668" t="s">
        <v>297</v>
      </c>
      <c r="C301" s="668" t="s">
        <v>297</v>
      </c>
      <c r="D301" s="668" t="s">
        <v>297</v>
      </c>
      <c r="E301" s="710"/>
      <c r="F301" s="711"/>
      <c r="G301" s="668"/>
      <c r="H301" s="712"/>
      <c r="I301" s="712" t="str">
        <f>IF(G301="","",IF(G301="Proprietary","Filterra","Clearinghouse Not Used"))</f>
        <v/>
      </c>
      <c r="J301" s="712"/>
      <c r="K301" s="712"/>
      <c r="L301" s="712"/>
      <c r="M301" s="712"/>
      <c r="N301" s="712"/>
      <c r="O301" s="712"/>
      <c r="P301" s="712"/>
      <c r="Q301" s="712"/>
      <c r="R301" s="712"/>
      <c r="S301" s="712"/>
      <c r="T301" s="712"/>
      <c r="U301" s="712"/>
      <c r="V301" s="712"/>
      <c r="W301" s="712"/>
      <c r="X301" s="760" t="str">
        <f t="shared" si="119"/>
        <v/>
      </c>
      <c r="Y301" s="713"/>
      <c r="Z301" s="712"/>
      <c r="AA301" s="712"/>
      <c r="AB301" s="638"/>
      <c r="AC301" s="638"/>
      <c r="AD301" s="638"/>
      <c r="AE301" s="629"/>
      <c r="AF301" s="666"/>
      <c r="AG301" s="666"/>
      <c r="AH301" s="629"/>
      <c r="AI301" s="638"/>
      <c r="AJ301" s="629"/>
      <c r="AK301" s="639" t="str">
        <f t="shared" si="96"/>
        <v/>
      </c>
      <c r="AL301" s="644"/>
      <c r="AM301" s="638"/>
      <c r="AN301" s="638"/>
      <c r="AO301" s="629"/>
      <c r="AP301" s="648"/>
      <c r="AQ301" s="791"/>
      <c r="AR301" s="791"/>
      <c r="AS301" s="792"/>
    </row>
    <row r="302" spans="1:45" ht="14.45" customHeight="1" x14ac:dyDescent="0.25">
      <c r="A302" s="261"/>
      <c r="B302" s="510" t="s">
        <v>297</v>
      </c>
      <c r="C302" s="510" t="s">
        <v>297</v>
      </c>
      <c r="D302" s="510" t="s">
        <v>297</v>
      </c>
      <c r="E302" s="704"/>
      <c r="F302" s="705"/>
      <c r="G302" s="510"/>
      <c r="H302" s="511"/>
      <c r="I302" s="261" t="str">
        <f>IF(G302="","",IF(G302="Proprietary","Filterra","Clearinghouse Not Used"))</f>
        <v/>
      </c>
      <c r="J302" s="511"/>
      <c r="K302" s="511"/>
      <c r="L302" s="510"/>
      <c r="M302" s="510"/>
      <c r="N302" s="672"/>
      <c r="O302" s="514"/>
      <c r="P302" s="514" t="s">
        <v>297</v>
      </c>
      <c r="Q302" s="688"/>
      <c r="R302" s="674"/>
      <c r="S302" s="674"/>
      <c r="T302" s="674"/>
      <c r="U302" s="1022"/>
      <c r="V302" s="514"/>
      <c r="W302" s="675"/>
      <c r="X302" s="636" t="str">
        <f t="shared" si="119"/>
        <v/>
      </c>
      <c r="Y302" s="706"/>
      <c r="Z302" s="640"/>
      <c r="AA302" s="1022"/>
      <c r="AB302" s="637"/>
      <c r="AC302" s="637"/>
      <c r="AD302" s="637"/>
      <c r="AE302" s="139"/>
      <c r="AF302" s="642"/>
      <c r="AG302" s="583"/>
      <c r="AH302" s="139"/>
      <c r="AI302" s="637"/>
      <c r="AJ302" s="139"/>
      <c r="AK302" s="416" t="str">
        <f t="shared" si="96"/>
        <v/>
      </c>
      <c r="AL302" s="642"/>
      <c r="AM302" s="637"/>
      <c r="AN302" s="637"/>
      <c r="AO302" s="139"/>
      <c r="AP302" s="647"/>
      <c r="AQ302" s="789"/>
      <c r="AR302" s="789"/>
      <c r="AS302" s="790"/>
    </row>
    <row r="303" spans="1:45" x14ac:dyDescent="0.25">
      <c r="A303" s="261" t="s">
        <v>732</v>
      </c>
      <c r="B303" s="510">
        <v>38.080390000000001</v>
      </c>
      <c r="C303" s="510">
        <v>-78.474727999999999</v>
      </c>
      <c r="D303" s="510" t="s">
        <v>286</v>
      </c>
      <c r="E303" s="511">
        <v>286.01</v>
      </c>
      <c r="F303" s="669">
        <v>40140</v>
      </c>
      <c r="G303" s="510" t="s">
        <v>289</v>
      </c>
      <c r="H303" s="511" t="s">
        <v>352</v>
      </c>
      <c r="I303" s="511" t="s">
        <v>352</v>
      </c>
      <c r="J303" s="511"/>
      <c r="K303" s="511"/>
      <c r="L303" s="261"/>
      <c r="M303" s="671">
        <f>N303+O303+P303</f>
        <v>2.5866290296844001</v>
      </c>
      <c r="N303" s="672">
        <v>1.4450431188299999</v>
      </c>
      <c r="O303" s="514">
        <v>1.1415859108544</v>
      </c>
      <c r="P303" s="514">
        <v>0</v>
      </c>
      <c r="Q303" s="673">
        <f>+N303/M303</f>
        <v>0.55865881896729219</v>
      </c>
      <c r="R303" s="674">
        <f>IF(L302="TT",(1.76*N303+0.5*O303+0.13*P303)-#REF!,1.76*N303+0.5*O303+0.13*P303)</f>
        <v>3.114068844568</v>
      </c>
      <c r="S303" s="674">
        <f>IF(L302="TT",(M303*9.39+N303*6.99+O303*2.36)-#REF!,M303*9.39+N303*6.99+O303*2.36)</f>
        <v>37.083440738974602</v>
      </c>
      <c r="T303" s="674">
        <f>IF(L302="TT",(M303*676.94+N303*101.08+O303*77.38)-#REF!,M303*676.94+N303*101.08+O303*77.38)</f>
        <v>1985.3935315878077</v>
      </c>
      <c r="U303" s="1022" t="s">
        <v>278</v>
      </c>
      <c r="V303" s="514">
        <v>39.96</v>
      </c>
      <c r="W303" s="675">
        <f>IF(V303="NA", 0, (V303)*12/N303/43560)</f>
        <v>7.6179487790806674E-3</v>
      </c>
      <c r="X303" s="636">
        <f t="shared" si="119"/>
        <v>0.45</v>
      </c>
      <c r="Y303" s="706">
        <f>IF(X303="NA",0,R303*X303)</f>
        <v>1.4013309800556</v>
      </c>
      <c r="Z303" s="635">
        <f>IF(ISNA(VLOOKUP(J303,'Efficiency Lookup'!$B$2:$C$38,2,FALSE)),0,(VLOOKUP(J303,'Efficiency Lookup'!$B$2:$C$38,2,FALSE)))</f>
        <v>0</v>
      </c>
      <c r="AA303" s="139">
        <f>R303*Z303</f>
        <v>0</v>
      </c>
      <c r="AB303" s="635">
        <f>IF(ISNA(VLOOKUP(K303,'Efficiency Lookup'!$D$2:$E$35,2,FALSE)),0,VLOOKUP(K303,'Efficiency Lookup'!$D$2:$E$35,2,FALSE))</f>
        <v>0</v>
      </c>
      <c r="AC303" s="139">
        <f>R303*AB303</f>
        <v>0</v>
      </c>
      <c r="AD303" s="637">
        <f>IF(U303="RR",IF((0.0304*(W303^5)-0.2619*(W303^4)+0.9161*(W303^3)-1.6837*(W303^2)+1.7072*W303-0.0091)&gt;0.85,0.85,IF((0.0304*(W303^5)-0.2619*(W303^4)+0.9161*(W303^3)-1.6837*(W303^2)+1.7072*W303-0.0091)&lt;0,0,(0.0304*(W303^5)-0.2619*(W303^4)+0.9161*(W303^3)-1.6837*(W303^2)+1.7072*W303-0.0091))),IF((0.0239*(W303^5)-0.2058*(W303^4)+0.7198*(W303^3)-1.3229*(W303^2)+1.3414*W303-0.0072)&gt;0.65,0.65,IF((0.0239*(W303^5)-0.2058*(W303^4)+0.7198*(W303^3)-1.3229*(W303^2)+1.3414*W303-0.0072)&lt;0,0,(0.0239*(W303^5)-0.2058*(W303^4)+0.7198*(W303^3)-1.3229*(W303^2)+1.3414*W303-0.0072))))</f>
        <v>2.9422619730123806E-3</v>
      </c>
      <c r="AE303" s="139">
        <f>R303*AD303</f>
        <v>9.1624063427150279E-3</v>
      </c>
      <c r="AF303" s="516">
        <f>MAX(Y303,AA303,AC303,AE303)</f>
        <v>1.4013309800556</v>
      </c>
      <c r="AG303" s="634">
        <f>IF(ISNA(VLOOKUP(K303,'Efficiency Lookup'!$D$2:$G$35,3,FALSE)),0,VLOOKUP(K303,'Efficiency Lookup'!$D$2:$G$35,3,FALSE))</f>
        <v>0</v>
      </c>
      <c r="AH303" s="139">
        <f>S303*AG303</f>
        <v>0</v>
      </c>
      <c r="AI303" s="521">
        <f>IF(U303="RR",IF((0.0308*(W303^5)-0.2562*(W303^4)+0.8634*(W303^3)-1.5285*(W303^2)+1.501*W303-0.013)&gt;0.7,0.7,IF((0.0308*(W303^5)-0.2562*(W303^4)+0.8634*(W303^3)-1.5285*(W303^2)+1.501*W303-0.013)&lt;0,0,(0.0308*(W303^5)-0.2562*(W303^4)+0.8634*(W303^3)-1.5285*(W303^2)+1.501*W303-0.013))),IF((0.0152*(W303^5)-0.131*(W303^4)+0.4581*(W303^3)-0.8418*(W303^2)+0.8536*W303-0.0046)&gt;0.65,0.65,IF((0.0152*(W303^5)-0.131*(W303^4)+0.4581*(W303^3)-0.8418*(W303^2)+0.8536*W303-0.0046)&lt;0,0,(0.0152*(W303^5)-0.131*(W303^4)+0.4581*(W303^3)-0.8418*(W303^2)+0.8536*W303-0.0046))))</f>
        <v>1.8540308597817922E-3</v>
      </c>
      <c r="AJ303" s="1005">
        <f>S303*AI303</f>
        <v>6.8753843516948215E-2</v>
      </c>
      <c r="AK303" s="416">
        <f t="shared" si="96"/>
        <v>6.8753843516948215E-2</v>
      </c>
      <c r="AL303" s="634">
        <f>IF(ISNA(VLOOKUP(K303,'Efficiency Lookup'!$D$2:$G$35,4,FALSE)),0,VLOOKUP(K303,'Efficiency Lookup'!$D$2:$G$35,4,FALSE))</f>
        <v>0</v>
      </c>
      <c r="AM303" s="139">
        <f>T303*AL303</f>
        <v>0</v>
      </c>
      <c r="AN303" s="521">
        <f>IF(U303="RR",IF((0.0326*(W303^5)-0.2806*(W303^4)+0.9816*(W303^3)-1.8039*(W303^2)+1.8292*W303-0.0098)&gt;0.85,0.85,IF((0.0326*(W303^5)-0.2806*(W303^4)+0.9816*(W303^3)-1.8039*(W303^2)+1.8292*W303-0.0098)&lt;0,0,(0.0326*(W303^5)-0.2806*(W303^4)+0.9816*(W303^3)-1.8039*(W303^2)+1.8292*W303-0.0098))),IF((0.0304*(W303^5)-0.2619*(W303^4)+0.9161*(W303^3)-1.6837*(W303^2)+1.7072*W303-0.0091)&gt;0.8,0.8,IF((0.0304*(W303^5)-0.2619*(W303^4)+0.9161*(W303^3)-1.6837*(W303^2)+1.7072*W303-0.0091)&lt;0,0,(0.0304*(W303^5)-0.2619*(W303^4)+0.9161*(W303^3)-1.6837*(W303^2)+1.7072*W303-0.0091))))</f>
        <v>3.8080558723766582E-3</v>
      </c>
      <c r="AO303" s="1005">
        <f>T303*AN303</f>
        <v>7.5604894969415835</v>
      </c>
      <c r="AP303" s="647">
        <f>IF(AK303=AH303,AM303,AO303)</f>
        <v>7.5604894969415835</v>
      </c>
      <c r="AQ303" s="789">
        <f>IF(AF303&lt;0,0,AF303)</f>
        <v>1.4013309800556</v>
      </c>
      <c r="AR303" s="789">
        <f>IF(AK303&lt;0,0,AK303)</f>
        <v>6.8753843516948215E-2</v>
      </c>
      <c r="AS303" s="790">
        <f>IF(AP303&lt;0,0,AP303)</f>
        <v>7.5604894969415835</v>
      </c>
    </row>
    <row r="304" spans="1:45" x14ac:dyDescent="0.25">
      <c r="A304" s="261"/>
      <c r="B304" s="510" t="s">
        <v>297</v>
      </c>
      <c r="C304" s="510" t="s">
        <v>297</v>
      </c>
      <c r="D304" s="510" t="s">
        <v>297</v>
      </c>
      <c r="E304" s="511"/>
      <c r="F304" s="705"/>
      <c r="G304" s="510"/>
      <c r="H304" s="511"/>
      <c r="I304" s="261" t="str">
        <f>IF(G304="","",IF(G304="Proprietary","Filterra","Clearinghouse Not Used"))</f>
        <v/>
      </c>
      <c r="J304" s="511"/>
      <c r="K304" s="511"/>
      <c r="L304" s="510"/>
      <c r="M304" s="510"/>
      <c r="N304" s="672"/>
      <c r="O304" s="514"/>
      <c r="P304" s="514" t="s">
        <v>297</v>
      </c>
      <c r="Q304" s="688"/>
      <c r="R304" s="674"/>
      <c r="S304" s="674"/>
      <c r="T304" s="674"/>
      <c r="U304" s="1022"/>
      <c r="V304" s="514"/>
      <c r="W304" s="675"/>
      <c r="X304" s="636" t="str">
        <f t="shared" si="119"/>
        <v/>
      </c>
      <c r="Y304" s="706"/>
      <c r="Z304" s="640"/>
      <c r="AA304" s="1022"/>
      <c r="AB304" s="637"/>
      <c r="AC304" s="637"/>
      <c r="AD304" s="637"/>
      <c r="AE304" s="139"/>
      <c r="AF304" s="642"/>
      <c r="AG304" s="583"/>
      <c r="AH304" s="139"/>
      <c r="AI304" s="637"/>
      <c r="AJ304" s="139"/>
      <c r="AK304" s="416" t="str">
        <f t="shared" si="96"/>
        <v/>
      </c>
      <c r="AL304" s="642"/>
      <c r="AM304" s="637"/>
      <c r="AN304" s="637"/>
      <c r="AO304" s="139"/>
      <c r="AP304" s="647"/>
      <c r="AQ304" s="789"/>
      <c r="AR304" s="789"/>
      <c r="AS304" s="790"/>
    </row>
    <row r="305" spans="1:45" x14ac:dyDescent="0.25">
      <c r="A305" s="628"/>
      <c r="B305" s="668" t="s">
        <v>297</v>
      </c>
      <c r="C305" s="668" t="s">
        <v>297</v>
      </c>
      <c r="D305" s="668" t="s">
        <v>297</v>
      </c>
      <c r="E305" s="710"/>
      <c r="F305" s="711"/>
      <c r="G305" s="668"/>
      <c r="H305" s="712"/>
      <c r="I305" s="712" t="str">
        <f>IF(G305="","",IF(G305="Proprietary","Filterra","Clearinghouse Not Used"))</f>
        <v/>
      </c>
      <c r="J305" s="712"/>
      <c r="K305" s="712"/>
      <c r="L305" s="712"/>
      <c r="M305" s="712"/>
      <c r="N305" s="712"/>
      <c r="O305" s="712"/>
      <c r="P305" s="712"/>
      <c r="Q305" s="712"/>
      <c r="R305" s="712"/>
      <c r="S305" s="712"/>
      <c r="T305" s="712"/>
      <c r="U305" s="712"/>
      <c r="V305" s="712"/>
      <c r="W305" s="712"/>
      <c r="X305" s="760" t="str">
        <f t="shared" si="119"/>
        <v/>
      </c>
      <c r="Y305" s="713"/>
      <c r="Z305" s="712"/>
      <c r="AA305" s="712"/>
      <c r="AB305" s="638"/>
      <c r="AC305" s="638"/>
      <c r="AD305" s="638"/>
      <c r="AE305" s="629"/>
      <c r="AF305" s="666"/>
      <c r="AG305" s="666"/>
      <c r="AH305" s="629"/>
      <c r="AI305" s="638"/>
      <c r="AJ305" s="629"/>
      <c r="AK305" s="639" t="str">
        <f t="shared" si="96"/>
        <v/>
      </c>
      <c r="AL305" s="644"/>
      <c r="AM305" s="638"/>
      <c r="AN305" s="638"/>
      <c r="AO305" s="629"/>
      <c r="AP305" s="648"/>
      <c r="AQ305" s="791"/>
      <c r="AR305" s="791"/>
      <c r="AS305" s="792"/>
    </row>
    <row r="306" spans="1:45" ht="14.45" customHeight="1" x14ac:dyDescent="0.25">
      <c r="A306" s="261"/>
      <c r="B306" s="510" t="s">
        <v>297</v>
      </c>
      <c r="C306" s="510" t="s">
        <v>297</v>
      </c>
      <c r="D306" s="510" t="s">
        <v>297</v>
      </c>
      <c r="E306" s="704"/>
      <c r="F306" s="705"/>
      <c r="G306" s="510"/>
      <c r="H306" s="511"/>
      <c r="I306" s="261" t="str">
        <f>IF(G306="","",IF(G306="Proprietary","Filterra","Clearinghouse Not Used"))</f>
        <v/>
      </c>
      <c r="J306" s="511"/>
      <c r="K306" s="511"/>
      <c r="L306" s="510"/>
      <c r="M306" s="510"/>
      <c r="N306" s="672"/>
      <c r="O306" s="514"/>
      <c r="P306" s="514" t="s">
        <v>297</v>
      </c>
      <c r="Q306" s="688"/>
      <c r="R306" s="674"/>
      <c r="S306" s="674"/>
      <c r="T306" s="674"/>
      <c r="U306" s="1022"/>
      <c r="V306" s="514"/>
      <c r="W306" s="675"/>
      <c r="X306" s="636" t="str">
        <f t="shared" si="119"/>
        <v/>
      </c>
      <c r="Y306" s="706"/>
      <c r="Z306" s="640"/>
      <c r="AA306" s="1022"/>
      <c r="AB306" s="637"/>
      <c r="AC306" s="637"/>
      <c r="AD306" s="637"/>
      <c r="AE306" s="139"/>
      <c r="AF306" s="642"/>
      <c r="AG306" s="583"/>
      <c r="AH306" s="139"/>
      <c r="AI306" s="637"/>
      <c r="AJ306" s="139"/>
      <c r="AK306" s="416" t="str">
        <f t="shared" si="96"/>
        <v/>
      </c>
      <c r="AL306" s="642"/>
      <c r="AM306" s="637"/>
      <c r="AN306" s="637"/>
      <c r="AO306" s="139"/>
      <c r="AP306" s="647"/>
      <c r="AQ306" s="789"/>
      <c r="AR306" s="789"/>
      <c r="AS306" s="790"/>
    </row>
    <row r="307" spans="1:45" ht="28.9" customHeight="1" x14ac:dyDescent="0.25">
      <c r="A307" s="261" t="s">
        <v>733</v>
      </c>
      <c r="B307" s="510">
        <v>38.028596</v>
      </c>
      <c r="C307" s="510">
        <v>-78.435824999999994</v>
      </c>
      <c r="D307" s="510" t="s">
        <v>296</v>
      </c>
      <c r="E307" s="511">
        <v>94.07</v>
      </c>
      <c r="F307" s="669">
        <v>41080</v>
      </c>
      <c r="G307" s="510" t="s">
        <v>281</v>
      </c>
      <c r="H307" s="670"/>
      <c r="I307" s="511"/>
      <c r="J307" s="511" t="s">
        <v>343</v>
      </c>
      <c r="K307" s="511" t="s">
        <v>496</v>
      </c>
      <c r="L307" s="671"/>
      <c r="M307" s="671">
        <f t="shared" ref="M307:M313" si="142">N307+O307+P307</f>
        <v>0.51108392217689991</v>
      </c>
      <c r="N307" s="672">
        <v>0.162828216173</v>
      </c>
      <c r="O307" s="514">
        <v>0.29408671133199998</v>
      </c>
      <c r="P307" s="514">
        <v>5.4168994671899999E-2</v>
      </c>
      <c r="Q307" s="673">
        <f t="shared" ref="Q307:Q313" si="143">+N307/M307</f>
        <v>0.31859389252444686</v>
      </c>
      <c r="R307" s="674">
        <f t="shared" ref="R307:R312" si="144">IF(L306="TT",(1.76*N307+0.5*O307+0.13*P307)-AF306,1.76*N307+0.5*O307+0.13*P307)</f>
        <v>0.440662985437827</v>
      </c>
      <c r="S307" s="674">
        <f t="shared" ref="S307:S312" si="145">IF(L306="TT",(M307*9.39+N307*6.99+O307*2.36)-AK306,M307*9.39+N307*6.99+O307*2.36)</f>
        <v>6.6312918990338803</v>
      </c>
      <c r="T307" s="674">
        <f t="shared" ref="T307:T312" si="146">IF(L306="TT",(M307*676.94+N307*101.08+O307*77.38)-AP306,M307*676.94+N307*101.08+O307*77.38)</f>
        <v>385.18825609206766</v>
      </c>
      <c r="U307" s="1022" t="s">
        <v>285</v>
      </c>
      <c r="V307" s="514" t="s">
        <v>295</v>
      </c>
      <c r="W307" s="675">
        <f t="shared" ref="W307:W312" si="147">IF(V307="NA", 0, (V307)*12/N307/43560)</f>
        <v>0</v>
      </c>
      <c r="X307" s="634" t="str">
        <f t="shared" si="119"/>
        <v>NA</v>
      </c>
      <c r="Y307" s="676">
        <f t="shared" ref="Y307:Y313" si="148">IF(X307="NA",0,R307*X307)</f>
        <v>0</v>
      </c>
      <c r="Z307" s="635">
        <f>IF(ISNA(VLOOKUP(J307,'Efficiency Lookup'!$B$2:$C$38,2,FALSE)),0,(VLOOKUP(J307,'Efficiency Lookup'!$B$2:$C$38,2,FALSE)))</f>
        <v>0.5</v>
      </c>
      <c r="AA307" s="139">
        <f t="shared" ref="AA307:AA313" si="149">R307*Z307</f>
        <v>0.2203314927189135</v>
      </c>
      <c r="AB307" s="1061">
        <f>IF(ISNA(VLOOKUP(K307,'Efficiency Lookup'!$D$2:$E$35,2,FALSE)),0,VLOOKUP(K307,'Efficiency Lookup'!$D$2:$E$35,2,FALSE))</f>
        <v>0.85</v>
      </c>
      <c r="AC307" s="1005">
        <f t="shared" ref="AC307:AC313" si="150">R307*AB307</f>
        <v>0.37456353762215294</v>
      </c>
      <c r="AD307" s="637">
        <f t="shared" ref="AD307:AD313" si="151">IF(U307="RR",IF((0.0304*(W307^5)-0.2619*(W307^4)+0.9161*(W307^3)-1.6837*(W307^2)+1.7072*W307-0.0091)&gt;0.85,0.85,IF((0.0304*(W307^5)-0.2619*(W307^4)+0.9161*(W307^3)-1.6837*(W307^2)+1.7072*W307-0.0091)&lt;0,0,(0.0304*(W307^5)-0.2619*(W307^4)+0.9161*(W307^3)-1.6837*(W307^2)+1.7072*W307-0.0091))),IF((0.0239*(W307^5)-0.2058*(W307^4)+0.7198*(W307^3)-1.3229*(W307^2)+1.3414*W307-0.0072)&gt;0.65,0.65,IF((0.0239*(W307^5)-0.2058*(W307^4)+0.7198*(W307^3)-1.3229*(W307^2)+1.3414*W307-0.0072)&lt;0,0,(0.0239*(W307^5)-0.2058*(W307^4)+0.7198*(W307^3)-1.3229*(W307^2)+1.3414*W307-0.0072))))</f>
        <v>0</v>
      </c>
      <c r="AE307" s="139">
        <f t="shared" ref="AE307:AE313" si="152">R307*AD307</f>
        <v>0</v>
      </c>
      <c r="AF307" s="516">
        <f t="shared" ref="AF307:AF313" si="153">MAX(Y307,AA307,AC307,AE307)</f>
        <v>0.37456353762215294</v>
      </c>
      <c r="AG307" s="641">
        <f>IF(ISNA(VLOOKUP(K307,'Efficiency Lookup'!$D$2:$G$35,3,FALSE)),0,VLOOKUP(K307,'Efficiency Lookup'!$D$2:$G$35,3,FALSE))</f>
        <v>0.8</v>
      </c>
      <c r="AH307" s="1005">
        <f t="shared" ref="AH307:AH313" si="154">S307*AG307</f>
        <v>5.3050335192271048</v>
      </c>
      <c r="AI307" s="637">
        <f t="shared" ref="AI307:AI313" si="155">IF(U307="RR",IF((0.0308*(W307^5)-0.2562*(W307^4)+0.8634*(W307^3)-1.5285*(W307^2)+1.501*W307-0.013)&gt;0.7,0.7,IF((0.0308*(W307^5)-0.2562*(W307^4)+0.8634*(W307^3)-1.5285*(W307^2)+1.501*W307-0.013)&lt;0,0,(0.0308*(W307^5)-0.2562*(W307^4)+0.8634*(W307^3)-1.5285*(W307^2)+1.501*W307-0.013))),IF((0.0152*(W307^5)-0.131*(W307^4)+0.4581*(W307^3)-0.8418*(W307^2)+0.8536*W307-0.0046)&gt;0.65,0.65,IF((0.0152*(W307^5)-0.131*(W307^4)+0.4581*(W307^3)-0.8418*(W307^2)+0.8536*W307-0.0046)&lt;0,0,(0.0152*(W307^5)-0.131*(W307^4)+0.4581*(W307^3)-0.8418*(W307^2)+0.8536*W307-0.0046))))</f>
        <v>0</v>
      </c>
      <c r="AJ307" s="139">
        <f t="shared" ref="AJ307:AJ313" si="156">S307*AI307</f>
        <v>0</v>
      </c>
      <c r="AK307" s="416">
        <f t="shared" si="96"/>
        <v>5.3050335192271048</v>
      </c>
      <c r="AL307" s="641">
        <f>IF(ISNA(VLOOKUP(K307,'Efficiency Lookup'!$D$2:$G$35,4,FALSE)),0,VLOOKUP(K307,'Efficiency Lookup'!$D$2:$G$35,4,FALSE))</f>
        <v>0.9</v>
      </c>
      <c r="AM307" s="1005">
        <f t="shared" ref="AM307:AM313" si="157">T307*AL307</f>
        <v>346.66943048286089</v>
      </c>
      <c r="AN307" s="637">
        <f t="shared" ref="AN307:AN313" si="158">IF(U307="RR",IF((0.0326*(W307^5)-0.2806*(W307^4)+0.9816*(W307^3)-1.8039*(W307^2)+1.8292*W307-0.0098)&gt;0.85,0.85,IF((0.0326*(W307^5)-0.2806*(W307^4)+0.9816*(W307^3)-1.8039*(W307^2)+1.8292*W307-0.0098)&lt;0,0,(0.0326*(W307^5)-0.2806*(W307^4)+0.9816*(W307^3)-1.8039*(W307^2)+1.8292*W307-0.0098))),IF((0.0304*(W307^5)-0.2619*(W307^4)+0.9161*(W307^3)-1.6837*(W307^2)+1.7072*W307-0.0091)&gt;0.8,0.8,IF((0.0304*(W307^5)-0.2619*(W307^4)+0.9161*(W307^3)-1.6837*(W307^2)+1.7072*W307-0.0091)&lt;0,0,(0.0304*(W307^5)-0.2619*(W307^4)+0.9161*(W307^3)-1.6837*(W307^2)+1.7072*W307-0.0091))))</f>
        <v>0</v>
      </c>
      <c r="AO307" s="139">
        <f t="shared" ref="AO307:AO313" si="159">T307*AN307</f>
        <v>0</v>
      </c>
      <c r="AP307" s="647">
        <f t="shared" ref="AP307:AP313" si="160">IF(AK307=AH307,AM307,AO307)</f>
        <v>346.66943048286089</v>
      </c>
      <c r="AQ307" s="789">
        <f t="shared" ref="AQ307:AQ313" si="161">IF(AF307&lt;0,0,AF307)</f>
        <v>0.37456353762215294</v>
      </c>
      <c r="AR307" s="789">
        <f t="shared" ref="AR307:AR313" si="162">IF(AK307&lt;0,0,AK307)</f>
        <v>5.3050335192271048</v>
      </c>
      <c r="AS307" s="790">
        <f t="shared" ref="AS307:AS313" si="163">IF(AP307&lt;0,0,AP307)</f>
        <v>346.66943048286089</v>
      </c>
    </row>
    <row r="308" spans="1:45" ht="28.9" customHeight="1" x14ac:dyDescent="0.25">
      <c r="A308" s="261"/>
      <c r="B308" s="510">
        <v>38.027436999999999</v>
      </c>
      <c r="C308" s="510">
        <v>-78.436561999999995</v>
      </c>
      <c r="D308" s="510" t="s">
        <v>296</v>
      </c>
      <c r="E308" s="511">
        <v>94.02</v>
      </c>
      <c r="F308" s="669">
        <v>41080</v>
      </c>
      <c r="G308" s="510" t="s">
        <v>281</v>
      </c>
      <c r="H308" s="670"/>
      <c r="I308" s="511"/>
      <c r="J308" s="511" t="s">
        <v>343</v>
      </c>
      <c r="K308" s="511" t="s">
        <v>496</v>
      </c>
      <c r="L308" s="671"/>
      <c r="M308" s="671">
        <f t="shared" si="142"/>
        <v>0.14876558261589901</v>
      </c>
      <c r="N308" s="672">
        <v>6.9567700195658999E-2</v>
      </c>
      <c r="O308" s="514">
        <v>7.9197882420239993E-2</v>
      </c>
      <c r="P308" s="514">
        <v>0</v>
      </c>
      <c r="Q308" s="673">
        <f t="shared" si="143"/>
        <v>0.46763303025053388</v>
      </c>
      <c r="R308" s="674">
        <f t="shared" si="144"/>
        <v>0.16203809355447985</v>
      </c>
      <c r="S308" s="674">
        <f t="shared" si="145"/>
        <v>2.0700940476427148</v>
      </c>
      <c r="T308" s="674">
        <f t="shared" si="146"/>
        <v>113.86560877346207</v>
      </c>
      <c r="U308" s="1022" t="s">
        <v>285</v>
      </c>
      <c r="V308" s="514" t="s">
        <v>295</v>
      </c>
      <c r="W308" s="675">
        <f t="shared" si="147"/>
        <v>0</v>
      </c>
      <c r="X308" s="634" t="str">
        <f t="shared" si="119"/>
        <v>NA</v>
      </c>
      <c r="Y308" s="676">
        <f t="shared" si="148"/>
        <v>0</v>
      </c>
      <c r="Z308" s="635">
        <f>IF(ISNA(VLOOKUP(J308,'Efficiency Lookup'!$B$2:$C$38,2,FALSE)),0,(VLOOKUP(J308,'Efficiency Lookup'!$B$2:$C$38,2,FALSE)))</f>
        <v>0.5</v>
      </c>
      <c r="AA308" s="139">
        <f t="shared" si="149"/>
        <v>8.1019046777239923E-2</v>
      </c>
      <c r="AB308" s="1061">
        <f>IF(ISNA(VLOOKUP(K308,'Efficiency Lookup'!$D$2:$E$35,2,FALSE)),0,VLOOKUP(K308,'Efficiency Lookup'!$D$2:$E$35,2,FALSE))</f>
        <v>0.85</v>
      </c>
      <c r="AC308" s="1005">
        <f t="shared" si="150"/>
        <v>0.13773237952130787</v>
      </c>
      <c r="AD308" s="637">
        <f t="shared" si="151"/>
        <v>0</v>
      </c>
      <c r="AE308" s="139">
        <f t="shared" si="152"/>
        <v>0</v>
      </c>
      <c r="AF308" s="516">
        <f t="shared" si="153"/>
        <v>0.13773237952130787</v>
      </c>
      <c r="AG308" s="641">
        <f>IF(ISNA(VLOOKUP(K308,'Efficiency Lookup'!$D$2:$G$35,3,FALSE)),0,VLOOKUP(K308,'Efficiency Lookup'!$D$2:$G$35,3,FALSE))</f>
        <v>0.8</v>
      </c>
      <c r="AH308" s="1005">
        <f t="shared" si="154"/>
        <v>1.6560752381141719</v>
      </c>
      <c r="AI308" s="637">
        <f t="shared" si="155"/>
        <v>0</v>
      </c>
      <c r="AJ308" s="139">
        <f t="shared" si="156"/>
        <v>0</v>
      </c>
      <c r="AK308" s="416">
        <f t="shared" si="96"/>
        <v>1.6560752381141719</v>
      </c>
      <c r="AL308" s="641">
        <f>IF(ISNA(VLOOKUP(K308,'Efficiency Lookup'!$D$2:$G$35,4,FALSE)),0,VLOOKUP(K308,'Efficiency Lookup'!$D$2:$G$35,4,FALSE))</f>
        <v>0.9</v>
      </c>
      <c r="AM308" s="1005">
        <f t="shared" si="157"/>
        <v>102.47904789611587</v>
      </c>
      <c r="AN308" s="637">
        <f t="shared" si="158"/>
        <v>0</v>
      </c>
      <c r="AO308" s="139">
        <f t="shared" si="159"/>
        <v>0</v>
      </c>
      <c r="AP308" s="647">
        <f t="shared" si="160"/>
        <v>102.47904789611587</v>
      </c>
      <c r="AQ308" s="789">
        <f t="shared" si="161"/>
        <v>0.13773237952130787</v>
      </c>
      <c r="AR308" s="789">
        <f t="shared" si="162"/>
        <v>1.6560752381141719</v>
      </c>
      <c r="AS308" s="790">
        <f t="shared" si="163"/>
        <v>102.47904789611587</v>
      </c>
    </row>
    <row r="309" spans="1:45" ht="28.9" customHeight="1" x14ac:dyDescent="0.25">
      <c r="A309" s="261"/>
      <c r="B309" s="510">
        <v>38.027369</v>
      </c>
      <c r="C309" s="510">
        <v>-78.436971</v>
      </c>
      <c r="D309" s="510" t="s">
        <v>296</v>
      </c>
      <c r="E309" s="511">
        <v>94.03</v>
      </c>
      <c r="F309" s="669">
        <v>41080</v>
      </c>
      <c r="G309" s="510" t="s">
        <v>281</v>
      </c>
      <c r="H309" s="670"/>
      <c r="I309" s="511"/>
      <c r="J309" s="511" t="s">
        <v>343</v>
      </c>
      <c r="K309" s="511" t="s">
        <v>496</v>
      </c>
      <c r="L309" s="671"/>
      <c r="M309" s="671">
        <f t="shared" si="142"/>
        <v>0.16809163089662099</v>
      </c>
      <c r="N309" s="672">
        <v>6.4566793563941002E-2</v>
      </c>
      <c r="O309" s="514">
        <v>0.10352483733268</v>
      </c>
      <c r="P309" s="514">
        <v>0</v>
      </c>
      <c r="Q309" s="673">
        <f t="shared" si="143"/>
        <v>0.38411664649533089</v>
      </c>
      <c r="R309" s="674">
        <f t="shared" si="144"/>
        <v>0.16539997533887618</v>
      </c>
      <c r="S309" s="674">
        <f t="shared" si="145"/>
        <v>2.2740209172363439</v>
      </c>
      <c r="T309" s="674">
        <f t="shared" si="146"/>
        <v>128.32511202540456</v>
      </c>
      <c r="U309" s="1022" t="s">
        <v>285</v>
      </c>
      <c r="V309" s="514" t="s">
        <v>295</v>
      </c>
      <c r="W309" s="675">
        <f t="shared" si="147"/>
        <v>0</v>
      </c>
      <c r="X309" s="634" t="str">
        <f t="shared" si="119"/>
        <v>NA</v>
      </c>
      <c r="Y309" s="676">
        <f t="shared" si="148"/>
        <v>0</v>
      </c>
      <c r="Z309" s="635">
        <f>IF(ISNA(VLOOKUP(J309,'Efficiency Lookup'!$B$2:$C$38,2,FALSE)),0,(VLOOKUP(J309,'Efficiency Lookup'!$B$2:$C$38,2,FALSE)))</f>
        <v>0.5</v>
      </c>
      <c r="AA309" s="139">
        <f t="shared" si="149"/>
        <v>8.2699987669438091E-2</v>
      </c>
      <c r="AB309" s="1061">
        <f>IF(ISNA(VLOOKUP(K309,'Efficiency Lookup'!$D$2:$E$35,2,FALSE)),0,VLOOKUP(K309,'Efficiency Lookup'!$D$2:$E$35,2,FALSE))</f>
        <v>0.85</v>
      </c>
      <c r="AC309" s="1005">
        <f t="shared" si="150"/>
        <v>0.14058997903804474</v>
      </c>
      <c r="AD309" s="637">
        <f t="shared" si="151"/>
        <v>0</v>
      </c>
      <c r="AE309" s="139">
        <f t="shared" si="152"/>
        <v>0</v>
      </c>
      <c r="AF309" s="516">
        <f t="shared" si="153"/>
        <v>0.14058997903804474</v>
      </c>
      <c r="AG309" s="641">
        <f>IF(ISNA(VLOOKUP(K309,'Efficiency Lookup'!$D$2:$G$35,3,FALSE)),0,VLOOKUP(K309,'Efficiency Lookup'!$D$2:$G$35,3,FALSE))</f>
        <v>0.8</v>
      </c>
      <c r="AH309" s="1005">
        <f t="shared" si="154"/>
        <v>1.8192167337890752</v>
      </c>
      <c r="AI309" s="637">
        <f t="shared" si="155"/>
        <v>0</v>
      </c>
      <c r="AJ309" s="139">
        <f t="shared" si="156"/>
        <v>0</v>
      </c>
      <c r="AK309" s="416">
        <f t="shared" si="96"/>
        <v>1.8192167337890752</v>
      </c>
      <c r="AL309" s="641">
        <f>IF(ISNA(VLOOKUP(K309,'Efficiency Lookup'!$D$2:$G$35,4,FALSE)),0,VLOOKUP(K309,'Efficiency Lookup'!$D$2:$G$35,4,FALSE))</f>
        <v>0.9</v>
      </c>
      <c r="AM309" s="1005">
        <f t="shared" si="157"/>
        <v>115.49260082286411</v>
      </c>
      <c r="AN309" s="637">
        <f t="shared" si="158"/>
        <v>0</v>
      </c>
      <c r="AO309" s="139">
        <f t="shared" si="159"/>
        <v>0</v>
      </c>
      <c r="AP309" s="647">
        <f t="shared" si="160"/>
        <v>115.49260082286411</v>
      </c>
      <c r="AQ309" s="789">
        <f t="shared" si="161"/>
        <v>0.14058997903804474</v>
      </c>
      <c r="AR309" s="789">
        <f t="shared" si="162"/>
        <v>1.8192167337890752</v>
      </c>
      <c r="AS309" s="790">
        <f t="shared" si="163"/>
        <v>115.49260082286411</v>
      </c>
    </row>
    <row r="310" spans="1:45" ht="28.9" customHeight="1" x14ac:dyDescent="0.25">
      <c r="A310" s="261"/>
      <c r="B310" s="510">
        <v>38.027638000000003</v>
      </c>
      <c r="C310" s="510">
        <v>-78.436245999999997</v>
      </c>
      <c r="D310" s="510" t="s">
        <v>296</v>
      </c>
      <c r="E310" s="511">
        <v>94.04</v>
      </c>
      <c r="F310" s="669">
        <v>41080</v>
      </c>
      <c r="G310" s="510" t="s">
        <v>281</v>
      </c>
      <c r="H310" s="670"/>
      <c r="I310" s="511"/>
      <c r="J310" s="511" t="s">
        <v>343</v>
      </c>
      <c r="K310" s="511" t="s">
        <v>496</v>
      </c>
      <c r="L310" s="671"/>
      <c r="M310" s="671">
        <f t="shared" si="142"/>
        <v>0.24596533983322</v>
      </c>
      <c r="N310" s="672">
        <v>0.10072749382417999</v>
      </c>
      <c r="O310" s="514">
        <v>0.12727395512294001</v>
      </c>
      <c r="P310" s="514">
        <v>1.7963890886099999E-2</v>
      </c>
      <c r="Q310" s="673">
        <f t="shared" si="143"/>
        <v>0.40951905619092338</v>
      </c>
      <c r="R310" s="674">
        <f t="shared" si="144"/>
        <v>0.2432526725072198</v>
      </c>
      <c r="S310" s="674">
        <f t="shared" si="145"/>
        <v>3.3140662569550918</v>
      </c>
      <c r="T310" s="674">
        <f t="shared" si="146"/>
        <v>186.53377086986117</v>
      </c>
      <c r="U310" s="1022" t="s">
        <v>285</v>
      </c>
      <c r="V310" s="514" t="s">
        <v>295</v>
      </c>
      <c r="W310" s="675">
        <f t="shared" si="147"/>
        <v>0</v>
      </c>
      <c r="X310" s="634" t="str">
        <f t="shared" si="119"/>
        <v>NA</v>
      </c>
      <c r="Y310" s="676">
        <f t="shared" si="148"/>
        <v>0</v>
      </c>
      <c r="Z310" s="635">
        <f>IF(ISNA(VLOOKUP(J310,'Efficiency Lookup'!$B$2:$C$38,2,FALSE)),0,(VLOOKUP(J310,'Efficiency Lookup'!$B$2:$C$38,2,FALSE)))</f>
        <v>0.5</v>
      </c>
      <c r="AA310" s="139">
        <f t="shared" si="149"/>
        <v>0.1216263362536099</v>
      </c>
      <c r="AB310" s="1061">
        <f>IF(ISNA(VLOOKUP(K310,'Efficiency Lookup'!$D$2:$E$35,2,FALSE)),0,VLOOKUP(K310,'Efficiency Lookup'!$D$2:$E$35,2,FALSE))</f>
        <v>0.85</v>
      </c>
      <c r="AC310" s="1005">
        <f t="shared" si="150"/>
        <v>0.20676477163113682</v>
      </c>
      <c r="AD310" s="637">
        <f t="shared" si="151"/>
        <v>0</v>
      </c>
      <c r="AE310" s="139">
        <f t="shared" si="152"/>
        <v>0</v>
      </c>
      <c r="AF310" s="516">
        <f t="shared" si="153"/>
        <v>0.20676477163113682</v>
      </c>
      <c r="AG310" s="641">
        <f>IF(ISNA(VLOOKUP(K310,'Efficiency Lookup'!$D$2:$G$35,3,FALSE)),0,VLOOKUP(K310,'Efficiency Lookup'!$D$2:$G$35,3,FALSE))</f>
        <v>0.8</v>
      </c>
      <c r="AH310" s="1005">
        <f t="shared" si="154"/>
        <v>2.6512530055640737</v>
      </c>
      <c r="AI310" s="637">
        <f t="shared" si="155"/>
        <v>0</v>
      </c>
      <c r="AJ310" s="139">
        <f t="shared" si="156"/>
        <v>0</v>
      </c>
      <c r="AK310" s="416">
        <f t="shared" si="96"/>
        <v>2.6512530055640737</v>
      </c>
      <c r="AL310" s="641">
        <f>IF(ISNA(VLOOKUP(K310,'Efficiency Lookup'!$D$2:$G$35,4,FALSE)),0,VLOOKUP(K310,'Efficiency Lookup'!$D$2:$G$35,4,FALSE))</f>
        <v>0.9</v>
      </c>
      <c r="AM310" s="1005">
        <f t="shared" si="157"/>
        <v>167.88039378287505</v>
      </c>
      <c r="AN310" s="637">
        <f t="shared" si="158"/>
        <v>0</v>
      </c>
      <c r="AO310" s="139">
        <f t="shared" si="159"/>
        <v>0</v>
      </c>
      <c r="AP310" s="647">
        <f t="shared" si="160"/>
        <v>167.88039378287505</v>
      </c>
      <c r="AQ310" s="789">
        <f t="shared" si="161"/>
        <v>0.20676477163113682</v>
      </c>
      <c r="AR310" s="789">
        <f t="shared" si="162"/>
        <v>2.6512530055640737</v>
      </c>
      <c r="AS310" s="790">
        <f t="shared" si="163"/>
        <v>167.88039378287505</v>
      </c>
    </row>
    <row r="311" spans="1:45" ht="28.9" customHeight="1" x14ac:dyDescent="0.25">
      <c r="A311" s="261"/>
      <c r="B311" s="510">
        <v>38.028177999999997</v>
      </c>
      <c r="C311" s="510">
        <v>-78.435768999999993</v>
      </c>
      <c r="D311" s="510" t="s">
        <v>296</v>
      </c>
      <c r="E311" s="511">
        <v>94.05</v>
      </c>
      <c r="F311" s="669">
        <v>41080</v>
      </c>
      <c r="G311" s="510" t="s">
        <v>281</v>
      </c>
      <c r="H311" s="670"/>
      <c r="I311" s="511"/>
      <c r="J311" s="511" t="s">
        <v>343</v>
      </c>
      <c r="K311" s="511" t="s">
        <v>496</v>
      </c>
      <c r="L311" s="671"/>
      <c r="M311" s="671">
        <f t="shared" si="142"/>
        <v>0.35460812871300001</v>
      </c>
      <c r="N311" s="672">
        <v>9.9961613279399994E-2</v>
      </c>
      <c r="O311" s="514">
        <v>0.16933889031900001</v>
      </c>
      <c r="P311" s="514">
        <v>8.5307625114599994E-2</v>
      </c>
      <c r="Q311" s="673">
        <f t="shared" si="143"/>
        <v>0.28189318062785679</v>
      </c>
      <c r="R311" s="674">
        <f t="shared" si="144"/>
        <v>0.27169187579614201</v>
      </c>
      <c r="S311" s="674">
        <f t="shared" si="145"/>
        <v>4.4281417865909161</v>
      </c>
      <c r="T311" s="674">
        <f t="shared" si="146"/>
        <v>263.25598985414422</v>
      </c>
      <c r="U311" s="1022" t="s">
        <v>285</v>
      </c>
      <c r="V311" s="514" t="s">
        <v>295</v>
      </c>
      <c r="W311" s="675">
        <f t="shared" si="147"/>
        <v>0</v>
      </c>
      <c r="X311" s="634" t="str">
        <f t="shared" si="119"/>
        <v>NA</v>
      </c>
      <c r="Y311" s="676">
        <f t="shared" si="148"/>
        <v>0</v>
      </c>
      <c r="Z311" s="635">
        <f>IF(ISNA(VLOOKUP(J311,'Efficiency Lookup'!$B$2:$C$38,2,FALSE)),0,(VLOOKUP(J311,'Efficiency Lookup'!$B$2:$C$38,2,FALSE)))</f>
        <v>0.5</v>
      </c>
      <c r="AA311" s="139">
        <f t="shared" si="149"/>
        <v>0.13584593789807101</v>
      </c>
      <c r="AB311" s="1061">
        <f>IF(ISNA(VLOOKUP(K311,'Efficiency Lookup'!$D$2:$E$35,2,FALSE)),0,VLOOKUP(K311,'Efficiency Lookup'!$D$2:$E$35,2,FALSE))</f>
        <v>0.85</v>
      </c>
      <c r="AC311" s="1005">
        <f t="shared" si="150"/>
        <v>0.2309380944267207</v>
      </c>
      <c r="AD311" s="637">
        <f t="shared" si="151"/>
        <v>0</v>
      </c>
      <c r="AE311" s="139">
        <f t="shared" si="152"/>
        <v>0</v>
      </c>
      <c r="AF311" s="516">
        <f t="shared" si="153"/>
        <v>0.2309380944267207</v>
      </c>
      <c r="AG311" s="641">
        <f>IF(ISNA(VLOOKUP(K311,'Efficiency Lookup'!$D$2:$G$35,3,FALSE)),0,VLOOKUP(K311,'Efficiency Lookup'!$D$2:$G$35,3,FALSE))</f>
        <v>0.8</v>
      </c>
      <c r="AH311" s="1005">
        <f t="shared" si="154"/>
        <v>3.5425134292727329</v>
      </c>
      <c r="AI311" s="637">
        <f t="shared" si="155"/>
        <v>0</v>
      </c>
      <c r="AJ311" s="139">
        <f t="shared" si="156"/>
        <v>0</v>
      </c>
      <c r="AK311" s="416">
        <f t="shared" si="96"/>
        <v>3.5425134292727329</v>
      </c>
      <c r="AL311" s="641">
        <f>IF(ISNA(VLOOKUP(K311,'Efficiency Lookup'!$D$2:$G$35,4,FALSE)),0,VLOOKUP(K311,'Efficiency Lookup'!$D$2:$G$35,4,FALSE))</f>
        <v>0.9</v>
      </c>
      <c r="AM311" s="1005">
        <f t="shared" si="157"/>
        <v>236.9303908687298</v>
      </c>
      <c r="AN311" s="637">
        <f t="shared" si="158"/>
        <v>0</v>
      </c>
      <c r="AO311" s="139">
        <f t="shared" si="159"/>
        <v>0</v>
      </c>
      <c r="AP311" s="647">
        <f t="shared" si="160"/>
        <v>236.9303908687298</v>
      </c>
      <c r="AQ311" s="789">
        <f t="shared" si="161"/>
        <v>0.2309380944267207</v>
      </c>
      <c r="AR311" s="789">
        <f t="shared" si="162"/>
        <v>3.5425134292727329</v>
      </c>
      <c r="AS311" s="790">
        <f t="shared" si="163"/>
        <v>236.9303908687298</v>
      </c>
    </row>
    <row r="312" spans="1:45" ht="28.9" customHeight="1" x14ac:dyDescent="0.25">
      <c r="A312" s="261"/>
      <c r="B312" s="510">
        <v>38.028334000000001</v>
      </c>
      <c r="C312" s="510">
        <v>-78.436162999999993</v>
      </c>
      <c r="D312" s="510" t="s">
        <v>296</v>
      </c>
      <c r="E312" s="511">
        <v>94.06</v>
      </c>
      <c r="F312" s="669">
        <v>41080</v>
      </c>
      <c r="G312" s="510" t="s">
        <v>281</v>
      </c>
      <c r="H312" s="670"/>
      <c r="I312" s="511"/>
      <c r="J312" s="511" t="s">
        <v>343</v>
      </c>
      <c r="K312" s="511" t="s">
        <v>496</v>
      </c>
      <c r="L312" s="671"/>
      <c r="M312" s="671">
        <f t="shared" si="142"/>
        <v>0.13335068075779999</v>
      </c>
      <c r="N312" s="672">
        <v>7.0562033767599994E-2</v>
      </c>
      <c r="O312" s="514">
        <v>6.2788646990199995E-2</v>
      </c>
      <c r="P312" s="514">
        <v>0</v>
      </c>
      <c r="Q312" s="673">
        <f t="shared" si="143"/>
        <v>0.52914640830187631</v>
      </c>
      <c r="R312" s="674">
        <f t="shared" si="144"/>
        <v>0.15558350292607598</v>
      </c>
      <c r="S312" s="674">
        <f t="shared" si="145"/>
        <v>1.8935727152481379</v>
      </c>
      <c r="T312" s="674">
        <f t="shared" si="146"/>
        <v>102.26140570951583</v>
      </c>
      <c r="U312" s="1022" t="s">
        <v>285</v>
      </c>
      <c r="V312" s="514" t="s">
        <v>295</v>
      </c>
      <c r="W312" s="675">
        <f t="shared" si="147"/>
        <v>0</v>
      </c>
      <c r="X312" s="634" t="str">
        <f t="shared" si="119"/>
        <v>NA</v>
      </c>
      <c r="Y312" s="676">
        <f t="shared" si="148"/>
        <v>0</v>
      </c>
      <c r="Z312" s="635">
        <f>IF(ISNA(VLOOKUP(J312,'Efficiency Lookup'!$B$2:$C$38,2,FALSE)),0,(VLOOKUP(J312,'Efficiency Lookup'!$B$2:$C$38,2,FALSE)))</f>
        <v>0.5</v>
      </c>
      <c r="AA312" s="139">
        <f t="shared" si="149"/>
        <v>7.7791751463037989E-2</v>
      </c>
      <c r="AB312" s="1061">
        <f>IF(ISNA(VLOOKUP(K312,'Efficiency Lookup'!$D$2:$E$35,2,FALSE)),0,VLOOKUP(K312,'Efficiency Lookup'!$D$2:$E$35,2,FALSE))</f>
        <v>0.85</v>
      </c>
      <c r="AC312" s="1005">
        <f t="shared" si="150"/>
        <v>0.13224597748716457</v>
      </c>
      <c r="AD312" s="637">
        <f t="shared" si="151"/>
        <v>0</v>
      </c>
      <c r="AE312" s="139">
        <f t="shared" si="152"/>
        <v>0</v>
      </c>
      <c r="AF312" s="516">
        <f t="shared" si="153"/>
        <v>0.13224597748716457</v>
      </c>
      <c r="AG312" s="641">
        <f>IF(ISNA(VLOOKUP(K312,'Efficiency Lookup'!$D$2:$G$35,3,FALSE)),0,VLOOKUP(K312,'Efficiency Lookup'!$D$2:$G$35,3,FALSE))</f>
        <v>0.8</v>
      </c>
      <c r="AH312" s="1005">
        <f t="shared" si="154"/>
        <v>1.5148581721985104</v>
      </c>
      <c r="AI312" s="637">
        <f t="shared" si="155"/>
        <v>0</v>
      </c>
      <c r="AJ312" s="139">
        <f t="shared" si="156"/>
        <v>0</v>
      </c>
      <c r="AK312" s="416">
        <f t="shared" si="96"/>
        <v>1.5148581721985104</v>
      </c>
      <c r="AL312" s="641">
        <f>IF(ISNA(VLOOKUP(K312,'Efficiency Lookup'!$D$2:$G$35,4,FALSE)),0,VLOOKUP(K312,'Efficiency Lookup'!$D$2:$G$35,4,FALSE))</f>
        <v>0.9</v>
      </c>
      <c r="AM312" s="1005">
        <f t="shared" si="157"/>
        <v>92.035265138564242</v>
      </c>
      <c r="AN312" s="637">
        <f t="shared" si="158"/>
        <v>0</v>
      </c>
      <c r="AO312" s="139">
        <f t="shared" si="159"/>
        <v>0</v>
      </c>
      <c r="AP312" s="647">
        <f t="shared" si="160"/>
        <v>92.035265138564242</v>
      </c>
      <c r="AQ312" s="789">
        <f t="shared" si="161"/>
        <v>0.13224597748716457</v>
      </c>
      <c r="AR312" s="789">
        <f t="shared" si="162"/>
        <v>1.5148581721985104</v>
      </c>
      <c r="AS312" s="790">
        <f t="shared" si="163"/>
        <v>92.035265138564242</v>
      </c>
    </row>
    <row r="313" spans="1:45" ht="14.45" customHeight="1" x14ac:dyDescent="0.25">
      <c r="A313" s="261"/>
      <c r="B313" s="510">
        <v>38.028998000000001</v>
      </c>
      <c r="C313" s="510">
        <v>-78.434580999999994</v>
      </c>
      <c r="D313" s="510" t="s">
        <v>296</v>
      </c>
      <c r="E313" s="511">
        <v>94.01</v>
      </c>
      <c r="F313" s="669">
        <v>40799</v>
      </c>
      <c r="G313" s="510" t="s">
        <v>274</v>
      </c>
      <c r="H313" s="670"/>
      <c r="I313" s="511"/>
      <c r="J313" s="511" t="s">
        <v>530</v>
      </c>
      <c r="K313" s="511" t="s">
        <v>277</v>
      </c>
      <c r="L313" s="671"/>
      <c r="M313" s="671">
        <f t="shared" si="142"/>
        <v>35.716211966065785</v>
      </c>
      <c r="N313" s="672">
        <v>5.4986039822667907</v>
      </c>
      <c r="O313" s="514">
        <v>13.823734365629701</v>
      </c>
      <c r="P313" s="514">
        <v>16.393873618169298</v>
      </c>
      <c r="Q313" s="673">
        <f t="shared" si="143"/>
        <v>0.15395260806188102</v>
      </c>
      <c r="R313" s="674">
        <f>IF(L312="TT",(1.76*N313+0.5*O313+0.13*P313)-SUM(AF307:AF312),1.76*N313+0.5*O313+0.13*P313)</f>
        <v>18.720613761966408</v>
      </c>
      <c r="S313" s="674">
        <f>IF(L312="TT",(M313*9.39+N313*6.99+O313*2.36)-SUM(AK307:AK312),M313*9.39+N313*6.99+O313*2.36)</f>
        <v>406.43448530028871</v>
      </c>
      <c r="T313" s="674">
        <f>IF(L312="TT",(M313*676.94+N313*101.08+O313*77.38)-SUM(AP307:AP312),M313*676.94+N313*101.08+O313*77.38)</f>
        <v>25803.211984048528</v>
      </c>
      <c r="U313" s="1022" t="s">
        <v>278</v>
      </c>
      <c r="V313" s="514">
        <f>1.21*43560</f>
        <v>52707.6</v>
      </c>
      <c r="W313" s="675">
        <f>IF(V313="NA", 0, (V313)*12/N313/43560)</f>
        <v>2.6406702586379303</v>
      </c>
      <c r="X313" s="634" t="str">
        <f t="shared" si="119"/>
        <v>NA</v>
      </c>
      <c r="Y313" s="676">
        <f t="shared" si="148"/>
        <v>0</v>
      </c>
      <c r="Z313" s="635">
        <f>IF(ISNA(VLOOKUP(J313,'Efficiency Lookup'!$B$2:$C$38,2,FALSE)),0,(VLOOKUP(J313,'Efficiency Lookup'!$B$2:$C$38,2,FALSE)))</f>
        <v>0.4</v>
      </c>
      <c r="AA313" s="139">
        <f t="shared" si="149"/>
        <v>7.4882455047865637</v>
      </c>
      <c r="AB313" s="635">
        <f>IF(ISNA(VLOOKUP(K313,'Efficiency Lookup'!$D$2:$E$35,2,FALSE)),0,VLOOKUP(K313,'Efficiency Lookup'!$D$2:$E$35,2,FALSE))</f>
        <v>0.45</v>
      </c>
      <c r="AC313" s="139">
        <f t="shared" si="150"/>
        <v>8.4242761928848839</v>
      </c>
      <c r="AD313" s="521">
        <f t="shared" si="151"/>
        <v>0.62629829039949414</v>
      </c>
      <c r="AE313" s="1005">
        <f t="shared" si="152"/>
        <v>11.724688394348805</v>
      </c>
      <c r="AF313" s="516">
        <f t="shared" si="153"/>
        <v>11.724688394348805</v>
      </c>
      <c r="AG313" s="634">
        <f>IF(ISNA(VLOOKUP(K313,'Efficiency Lookup'!$D$2:$G$35,3,FALSE)),0,VLOOKUP(K313,'Efficiency Lookup'!$D$2:$G$35,3,FALSE))</f>
        <v>0.2</v>
      </c>
      <c r="AH313" s="139">
        <f t="shared" si="154"/>
        <v>81.286897060057754</v>
      </c>
      <c r="AI313" s="521">
        <f t="shared" si="155"/>
        <v>0.39670575520017909</v>
      </c>
      <c r="AJ313" s="1005">
        <f t="shared" si="156"/>
        <v>161.23489943044711</v>
      </c>
      <c r="AK313" s="416">
        <f t="shared" si="96"/>
        <v>161.23489943044711</v>
      </c>
      <c r="AL313" s="634">
        <f>IF(ISNA(VLOOKUP(K313,'Efficiency Lookup'!$D$2:$G$35,4,FALSE)),0,VLOOKUP(K313,'Efficiency Lookup'!$D$2:$G$35,4,FALSE))</f>
        <v>0.6</v>
      </c>
      <c r="AM313" s="139">
        <f t="shared" si="157"/>
        <v>15481.927190429116</v>
      </c>
      <c r="AN313" s="521">
        <f t="shared" si="158"/>
        <v>0.79583528760255995</v>
      </c>
      <c r="AO313" s="1005">
        <f t="shared" si="159"/>
        <v>20535.106630395083</v>
      </c>
      <c r="AP313" s="647">
        <f t="shared" si="160"/>
        <v>20535.106630395083</v>
      </c>
      <c r="AQ313" s="789">
        <f t="shared" si="161"/>
        <v>11.724688394348805</v>
      </c>
      <c r="AR313" s="789">
        <f t="shared" si="162"/>
        <v>161.23489943044711</v>
      </c>
      <c r="AS313" s="790">
        <f t="shared" si="163"/>
        <v>20535.106630395083</v>
      </c>
    </row>
    <row r="314" spans="1:45" x14ac:dyDescent="0.25">
      <c r="A314" s="261"/>
      <c r="B314" s="510" t="s">
        <v>297</v>
      </c>
      <c r="C314" s="510" t="s">
        <v>297</v>
      </c>
      <c r="D314" s="510" t="s">
        <v>297</v>
      </c>
      <c r="E314" s="511"/>
      <c r="F314" s="705"/>
      <c r="G314" s="510"/>
      <c r="H314" s="511"/>
      <c r="I314" s="261"/>
      <c r="J314" s="511"/>
      <c r="K314" s="511"/>
      <c r="L314" s="510"/>
      <c r="M314" s="510"/>
      <c r="N314" s="672"/>
      <c r="O314" s="514"/>
      <c r="P314" s="514" t="s">
        <v>297</v>
      </c>
      <c r="Q314" s="688"/>
      <c r="R314" s="674"/>
      <c r="S314" s="674"/>
      <c r="T314" s="674"/>
      <c r="U314" s="1022"/>
      <c r="V314" s="514"/>
      <c r="W314" s="675"/>
      <c r="X314" s="636" t="str">
        <f t="shared" si="119"/>
        <v/>
      </c>
      <c r="Y314" s="706"/>
      <c r="Z314" s="640"/>
      <c r="AA314" s="1022"/>
      <c r="AB314" s="637"/>
      <c r="AC314" s="637"/>
      <c r="AD314" s="637"/>
      <c r="AE314" s="139"/>
      <c r="AF314" s="642"/>
      <c r="AG314" s="583"/>
      <c r="AH314" s="139"/>
      <c r="AI314" s="637"/>
      <c r="AJ314" s="139"/>
      <c r="AK314" s="416" t="str">
        <f t="shared" si="96"/>
        <v/>
      </c>
      <c r="AL314" s="642"/>
      <c r="AM314" s="637"/>
      <c r="AN314" s="637"/>
      <c r="AO314" s="139"/>
      <c r="AP314" s="647"/>
      <c r="AQ314" s="789"/>
      <c r="AR314" s="789"/>
      <c r="AS314" s="790"/>
    </row>
    <row r="315" spans="1:45" x14ac:dyDescent="0.25">
      <c r="A315" s="628"/>
      <c r="B315" s="668" t="s">
        <v>297</v>
      </c>
      <c r="C315" s="668" t="s">
        <v>297</v>
      </c>
      <c r="D315" s="668" t="s">
        <v>297</v>
      </c>
      <c r="E315" s="710"/>
      <c r="F315" s="711"/>
      <c r="G315" s="668"/>
      <c r="H315" s="712"/>
      <c r="I315" s="712" t="str">
        <f>IF(G315="","",IF(G315="Proprietary","Filterra","Clearinghouse Not Used"))</f>
        <v/>
      </c>
      <c r="J315" s="712"/>
      <c r="K315" s="712"/>
      <c r="L315" s="712"/>
      <c r="M315" s="712"/>
      <c r="N315" s="712"/>
      <c r="O315" s="712"/>
      <c r="P315" s="712"/>
      <c r="Q315" s="712"/>
      <c r="R315" s="712"/>
      <c r="S315" s="712"/>
      <c r="T315" s="712"/>
      <c r="U315" s="712"/>
      <c r="V315" s="712"/>
      <c r="W315" s="712"/>
      <c r="X315" s="760" t="str">
        <f t="shared" si="119"/>
        <v/>
      </c>
      <c r="Y315" s="713"/>
      <c r="Z315" s="712"/>
      <c r="AA315" s="712"/>
      <c r="AB315" s="638"/>
      <c r="AC315" s="638"/>
      <c r="AD315" s="638"/>
      <c r="AE315" s="629"/>
      <c r="AF315" s="666"/>
      <c r="AG315" s="666"/>
      <c r="AH315" s="629"/>
      <c r="AI315" s="638"/>
      <c r="AJ315" s="629"/>
      <c r="AK315" s="639" t="str">
        <f t="shared" si="96"/>
        <v/>
      </c>
      <c r="AL315" s="644"/>
      <c r="AM315" s="638"/>
      <c r="AN315" s="638"/>
      <c r="AO315" s="629"/>
      <c r="AP315" s="648"/>
      <c r="AQ315" s="791"/>
      <c r="AR315" s="791"/>
      <c r="AS315" s="792"/>
    </row>
    <row r="316" spans="1:45" ht="14.45" customHeight="1" x14ac:dyDescent="0.25">
      <c r="A316" s="261"/>
      <c r="B316" s="510" t="s">
        <v>297</v>
      </c>
      <c r="C316" s="510" t="s">
        <v>297</v>
      </c>
      <c r="D316" s="510" t="s">
        <v>297</v>
      </c>
      <c r="E316" s="704"/>
      <c r="F316" s="705"/>
      <c r="G316" s="510"/>
      <c r="H316" s="511"/>
      <c r="I316" s="261" t="str">
        <f>IF(G316="","",IF(G316="Proprietary","Filterra","Clearinghouse Not Used"))</f>
        <v/>
      </c>
      <c r="J316" s="511"/>
      <c r="K316" s="511"/>
      <c r="L316" s="510"/>
      <c r="M316" s="510"/>
      <c r="N316" s="672"/>
      <c r="O316" s="514"/>
      <c r="P316" s="514" t="s">
        <v>297</v>
      </c>
      <c r="Q316" s="688"/>
      <c r="R316" s="674"/>
      <c r="S316" s="674"/>
      <c r="T316" s="674"/>
      <c r="U316" s="1022"/>
      <c r="V316" s="514"/>
      <c r="W316" s="675"/>
      <c r="X316" s="636" t="str">
        <f t="shared" si="119"/>
        <v/>
      </c>
      <c r="Y316" s="706"/>
      <c r="Z316" s="640"/>
      <c r="AA316" s="1022"/>
      <c r="AB316" s="637"/>
      <c r="AC316" s="637"/>
      <c r="AD316" s="637"/>
      <c r="AE316" s="139"/>
      <c r="AF316" s="642"/>
      <c r="AG316" s="583"/>
      <c r="AH316" s="139"/>
      <c r="AI316" s="637"/>
      <c r="AJ316" s="139"/>
      <c r="AK316" s="416" t="str">
        <f t="shared" si="96"/>
        <v/>
      </c>
      <c r="AL316" s="642"/>
      <c r="AM316" s="637"/>
      <c r="AN316" s="637"/>
      <c r="AO316" s="139"/>
      <c r="AP316" s="647"/>
      <c r="AQ316" s="789"/>
      <c r="AR316" s="789"/>
      <c r="AS316" s="790"/>
    </row>
    <row r="317" spans="1:45" ht="45" x14ac:dyDescent="0.25">
      <c r="A317" s="261" t="s">
        <v>734</v>
      </c>
      <c r="B317" s="510">
        <v>38.053046000000002</v>
      </c>
      <c r="C317" s="510">
        <v>-78.531039000000007</v>
      </c>
      <c r="D317" s="510" t="s">
        <v>296</v>
      </c>
      <c r="E317" s="511">
        <v>98.02</v>
      </c>
      <c r="F317" s="669">
        <v>40308</v>
      </c>
      <c r="G317" s="510" t="s">
        <v>289</v>
      </c>
      <c r="H317" s="511" t="s">
        <v>735</v>
      </c>
      <c r="I317" s="511" t="s">
        <v>352</v>
      </c>
      <c r="J317" s="511"/>
      <c r="K317" s="511"/>
      <c r="L317" s="261"/>
      <c r="M317" s="671">
        <f>N317+O317+P317</f>
        <v>3.9752675296216005</v>
      </c>
      <c r="N317" s="672">
        <v>1.7988368990500001</v>
      </c>
      <c r="O317" s="514">
        <v>2.1192491539490002</v>
      </c>
      <c r="P317" s="514">
        <v>5.7181476622600001E-2</v>
      </c>
      <c r="Q317" s="673">
        <f>+N317/M317</f>
        <v>0.45250712955694544</v>
      </c>
      <c r="R317" s="674">
        <f>IF(L316="TT",(1.76*N317+0.5*O317+0.13*P317)-AF316,1.76*N317+0.5*O317+0.13*P317)</f>
        <v>4.2330111112634388</v>
      </c>
      <c r="S317" s="674">
        <f>IF(L316="TT",(M317*9.39+N317*6.99+O317*2.36)-AK316,M317*9.39+N317*6.99+O317*2.36)</f>
        <v>54.903060030825969</v>
      </c>
      <c r="T317" s="674">
        <f>IF(L316="TT",(M317*676.94+N317*101.08+O317*77.38)-AP316,M317*676.94+N317*101.08+O317*77.38)</f>
        <v>3036.8315347905941</v>
      </c>
      <c r="U317" s="1022" t="s">
        <v>278</v>
      </c>
      <c r="V317" s="514">
        <f>196-3.44*16</f>
        <v>140.96</v>
      </c>
      <c r="W317" s="675">
        <f>IF(V317="NA", 0, (V317)*12/N317/43560)</f>
        <v>2.1587257823859909E-2</v>
      </c>
      <c r="X317" s="636">
        <f t="shared" si="119"/>
        <v>0.45</v>
      </c>
      <c r="Y317" s="706">
        <f>IF(X317="NA",0,R317*X317)</f>
        <v>1.9048550000685476</v>
      </c>
      <c r="Z317" s="635">
        <f>IF(ISNA(VLOOKUP(J317,'Efficiency Lookup'!$B$2:$C$38,2,FALSE)),0,(VLOOKUP(J317,'Efficiency Lookup'!$B$2:$C$38,2,FALSE)))</f>
        <v>0</v>
      </c>
      <c r="AA317" s="139">
        <f>R317*Z317</f>
        <v>0</v>
      </c>
      <c r="AB317" s="635">
        <f>IF(ISNA(VLOOKUP(K317,'Efficiency Lookup'!$D$2:$E$35,2,FALSE)),0,VLOOKUP(K317,'Efficiency Lookup'!$D$2:$E$35,2,FALSE))</f>
        <v>0</v>
      </c>
      <c r="AC317" s="139">
        <f>R317*AB317</f>
        <v>0</v>
      </c>
      <c r="AD317" s="637">
        <f>IF(U317="RR",IF((0.0304*(W317^5)-0.2619*(W317^4)+0.9161*(W317^3)-1.6837*(W317^2)+1.7072*W317-0.0091)&gt;0.85,0.85,IF((0.0304*(W317^5)-0.2619*(W317^4)+0.9161*(W317^3)-1.6837*(W317^2)+1.7072*W317-0.0091)&lt;0,0,(0.0304*(W317^5)-0.2619*(W317^4)+0.9161*(W317^3)-1.6837*(W317^2)+1.7072*W317-0.0091))),IF((0.0239*(W317^5)-0.2058*(W317^4)+0.7198*(W317^3)-1.3229*(W317^2)+1.3414*W317-0.0072)&gt;0.65,0.65,IF((0.0239*(W317^5)-0.2058*(W317^4)+0.7198*(W317^3)-1.3229*(W317^2)+1.3414*W317-0.0072)&lt;0,0,(0.0239*(W317^5)-0.2058*(W317^4)+0.7198*(W317^3)-1.3229*(W317^2)+1.3414*W317-0.0072))))</f>
        <v>2.1147859927347044E-2</v>
      </c>
      <c r="AE317" s="139">
        <f>R317*AD317</f>
        <v>8.9519126051902861E-2</v>
      </c>
      <c r="AF317" s="516">
        <f>MAX(Y317,AA317,AC317,AE317)</f>
        <v>1.9048550000685476</v>
      </c>
      <c r="AG317" s="634">
        <f>IF(ISNA(VLOOKUP(K317,'Efficiency Lookup'!$D$2:$G$35,3,FALSE)),0,VLOOKUP(K317,'Efficiency Lookup'!$D$2:$G$35,3,FALSE))</f>
        <v>0</v>
      </c>
      <c r="AH317" s="139">
        <f>S317*AG317</f>
        <v>0</v>
      </c>
      <c r="AI317" s="637">
        <f>IF(U317="RR",IF((0.0308*(W317^5)-0.2562*(W317^4)+0.8634*(W317^3)-1.5285*(W317^2)+1.501*W317-0.013)&gt;0.7,0.7,IF((0.0308*(W317^5)-0.2562*(W317^4)+0.8634*(W317^3)-1.5285*(W317^2)+1.501*W317-0.013)&lt;0,0,(0.0308*(W317^5)-0.2562*(W317^4)+0.8634*(W317^3)-1.5285*(W317^2)+1.501*W317-0.013))),IF((0.0152*(W317^5)-0.131*(W317^4)+0.4581*(W317^3)-0.8418*(W317^2)+0.8536*W317-0.0046)&gt;0.65,0.65,IF((0.0152*(W317^5)-0.131*(W317^4)+0.4581*(W317^3)-0.8418*(W317^2)+0.8536*W317-0.0046)&lt;0,0,(0.0152*(W317^5)-0.131*(W317^4)+0.4581*(W317^3)-0.8418*(W317^2)+0.8536*W317-0.0046))))</f>
        <v>1.3439176362483242E-2</v>
      </c>
      <c r="AJ317" s="139">
        <f>S317*AI317</f>
        <v>0.7378519065942748</v>
      </c>
      <c r="AK317" s="416">
        <f t="shared" si="96"/>
        <v>0.7378519065942748</v>
      </c>
      <c r="AL317" s="634">
        <f>IF(ISNA(VLOOKUP(K317,'Efficiency Lookup'!$D$2:$G$35,4,FALSE)),0,VLOOKUP(K317,'Efficiency Lookup'!$D$2:$G$35,4,FALSE))</f>
        <v>0</v>
      </c>
      <c r="AM317" s="139">
        <f>T317*AL317</f>
        <v>0</v>
      </c>
      <c r="AN317" s="637">
        <f>IF(U317="RR",IF((0.0326*(W317^5)-0.2806*(W317^4)+0.9816*(W317^3)-1.8039*(W317^2)+1.8292*W317-0.0098)&gt;0.85,0.85,IF((0.0326*(W317^5)-0.2806*(W317^4)+0.9816*(W317^3)-1.8039*(W317^2)+1.8292*W317-0.0098)&lt;0,0,(0.0326*(W317^5)-0.2806*(W317^4)+0.9816*(W317^3)-1.8039*(W317^2)+1.8292*W317-0.0098))),IF((0.0304*(W317^5)-0.2619*(W317^4)+0.9161*(W317^3)-1.6837*(W317^2)+1.7072*W317-0.0091)&gt;0.8,0.8,IF((0.0304*(W317^5)-0.2619*(W317^4)+0.9161*(W317^3)-1.6837*(W317^2)+1.7072*W317-0.0091)&lt;0,0,(0.0304*(W317^5)-0.2619*(W317^4)+0.9161*(W317^3)-1.6837*(W317^2)+1.7072*W317-0.0091))))</f>
        <v>2.6978305139725798E-2</v>
      </c>
      <c r="AO317" s="139">
        <f>T317*AN317</f>
        <v>81.928567803522469</v>
      </c>
      <c r="AP317" s="647">
        <f>IF(AK317=AH317,AM317,AO317)</f>
        <v>81.928567803522469</v>
      </c>
      <c r="AQ317" s="789">
        <f>IF(AF317&lt;0,0,AF317)</f>
        <v>1.9048550000685476</v>
      </c>
      <c r="AR317" s="789">
        <f>IF(AK317&lt;0,0,AK317)</f>
        <v>0.7378519065942748</v>
      </c>
      <c r="AS317" s="790">
        <f>IF(AP317&lt;0,0,AP317)</f>
        <v>81.928567803522469</v>
      </c>
    </row>
    <row r="318" spans="1:45" x14ac:dyDescent="0.25">
      <c r="A318" s="261"/>
      <c r="B318" s="510" t="s">
        <v>297</v>
      </c>
      <c r="C318" s="510" t="s">
        <v>297</v>
      </c>
      <c r="D318" s="510" t="s">
        <v>297</v>
      </c>
      <c r="E318" s="511"/>
      <c r="F318" s="705"/>
      <c r="G318" s="510"/>
      <c r="H318" s="511"/>
      <c r="I318" s="261" t="str">
        <f>IF(G318="","",IF(G318="Proprietary","Filterra","Clearinghouse Not Used"))</f>
        <v/>
      </c>
      <c r="J318" s="511"/>
      <c r="K318" s="511"/>
      <c r="L318" s="510"/>
      <c r="M318" s="510"/>
      <c r="N318" s="672"/>
      <c r="O318" s="514"/>
      <c r="P318" s="514" t="s">
        <v>297</v>
      </c>
      <c r="Q318" s="688"/>
      <c r="R318" s="674"/>
      <c r="S318" s="674"/>
      <c r="T318" s="674"/>
      <c r="U318" s="1022"/>
      <c r="V318" s="514"/>
      <c r="W318" s="675"/>
      <c r="X318" s="636" t="str">
        <f t="shared" si="119"/>
        <v/>
      </c>
      <c r="Y318" s="706"/>
      <c r="Z318" s="640"/>
      <c r="AA318" s="1022"/>
      <c r="AB318" s="637"/>
      <c r="AC318" s="637"/>
      <c r="AD318" s="637"/>
      <c r="AE318" s="139"/>
      <c r="AF318" s="642"/>
      <c r="AG318" s="583"/>
      <c r="AH318" s="139"/>
      <c r="AI318" s="637"/>
      <c r="AJ318" s="139"/>
      <c r="AK318" s="416" t="str">
        <f t="shared" si="96"/>
        <v/>
      </c>
      <c r="AL318" s="642"/>
      <c r="AM318" s="637"/>
      <c r="AN318" s="637"/>
      <c r="AO318" s="139"/>
      <c r="AP318" s="647"/>
      <c r="AQ318" s="789"/>
      <c r="AR318" s="789"/>
      <c r="AS318" s="790"/>
    </row>
    <row r="319" spans="1:45" x14ac:dyDescent="0.25">
      <c r="A319" s="628"/>
      <c r="B319" s="668" t="s">
        <v>297</v>
      </c>
      <c r="C319" s="668" t="s">
        <v>297</v>
      </c>
      <c r="D319" s="668" t="s">
        <v>297</v>
      </c>
      <c r="E319" s="710"/>
      <c r="F319" s="711"/>
      <c r="G319" s="668"/>
      <c r="H319" s="712"/>
      <c r="I319" s="712" t="str">
        <f>IF(G319="","",IF(G319="Proprietary","Filterra","Clearinghouse Not Used"))</f>
        <v/>
      </c>
      <c r="J319" s="712"/>
      <c r="K319" s="712"/>
      <c r="L319" s="712"/>
      <c r="M319" s="712"/>
      <c r="N319" s="712"/>
      <c r="O319" s="712"/>
      <c r="P319" s="712"/>
      <c r="Q319" s="712"/>
      <c r="R319" s="712"/>
      <c r="S319" s="712"/>
      <c r="T319" s="712"/>
      <c r="U319" s="712"/>
      <c r="V319" s="712"/>
      <c r="W319" s="712"/>
      <c r="X319" s="760" t="str">
        <f t="shared" si="119"/>
        <v/>
      </c>
      <c r="Y319" s="713"/>
      <c r="Z319" s="712"/>
      <c r="AA319" s="712"/>
      <c r="AB319" s="638"/>
      <c r="AC319" s="638"/>
      <c r="AD319" s="638"/>
      <c r="AE319" s="629"/>
      <c r="AF319" s="666"/>
      <c r="AG319" s="666"/>
      <c r="AH319" s="629"/>
      <c r="AI319" s="638"/>
      <c r="AJ319" s="629"/>
      <c r="AK319" s="639" t="str">
        <f t="shared" si="96"/>
        <v/>
      </c>
      <c r="AL319" s="644"/>
      <c r="AM319" s="638"/>
      <c r="AN319" s="638"/>
      <c r="AO319" s="629"/>
      <c r="AP319" s="648"/>
      <c r="AQ319" s="791"/>
      <c r="AR319" s="791"/>
      <c r="AS319" s="792"/>
    </row>
    <row r="320" spans="1:45" ht="14.45" customHeight="1" x14ac:dyDescent="0.25">
      <c r="A320" s="261"/>
      <c r="B320" s="510" t="s">
        <v>297</v>
      </c>
      <c r="C320" s="510" t="s">
        <v>297</v>
      </c>
      <c r="D320" s="510" t="s">
        <v>297</v>
      </c>
      <c r="E320" s="704"/>
      <c r="F320" s="705"/>
      <c r="G320" s="510"/>
      <c r="H320" s="511"/>
      <c r="I320" s="261" t="str">
        <f>IF(G320="","",IF(G320="Proprietary","Filterra","Clearinghouse Not Used"))</f>
        <v/>
      </c>
      <c r="J320" s="511"/>
      <c r="K320" s="511"/>
      <c r="L320" s="510"/>
      <c r="M320" s="510"/>
      <c r="N320" s="672"/>
      <c r="O320" s="514"/>
      <c r="P320" s="514" t="s">
        <v>297</v>
      </c>
      <c r="Q320" s="688"/>
      <c r="R320" s="674"/>
      <c r="S320" s="674"/>
      <c r="T320" s="674"/>
      <c r="U320" s="1022"/>
      <c r="V320" s="514"/>
      <c r="W320" s="675"/>
      <c r="X320" s="636" t="str">
        <f t="shared" si="119"/>
        <v/>
      </c>
      <c r="Y320" s="706"/>
      <c r="Z320" s="640"/>
      <c r="AA320" s="1022"/>
      <c r="AB320" s="637"/>
      <c r="AC320" s="637"/>
      <c r="AD320" s="637"/>
      <c r="AE320" s="139"/>
      <c r="AF320" s="642"/>
      <c r="AG320" s="583"/>
      <c r="AH320" s="139"/>
      <c r="AI320" s="637"/>
      <c r="AJ320" s="139"/>
      <c r="AK320" s="416" t="str">
        <f t="shared" si="96"/>
        <v/>
      </c>
      <c r="AL320" s="642"/>
      <c r="AM320" s="637"/>
      <c r="AN320" s="637"/>
      <c r="AO320" s="139"/>
      <c r="AP320" s="647"/>
      <c r="AQ320" s="789"/>
      <c r="AR320" s="789"/>
      <c r="AS320" s="790"/>
    </row>
    <row r="321" spans="1:45" ht="14.45" customHeight="1" x14ac:dyDescent="0.25">
      <c r="A321" s="261" t="s">
        <v>736</v>
      </c>
      <c r="B321" s="510">
        <v>38.088391000000001</v>
      </c>
      <c r="C321" s="510">
        <v>-78.478075000000004</v>
      </c>
      <c r="D321" s="510" t="s">
        <v>296</v>
      </c>
      <c r="E321" s="511">
        <v>324.01</v>
      </c>
      <c r="F321" s="669">
        <v>39738</v>
      </c>
      <c r="G321" s="510" t="s">
        <v>281</v>
      </c>
      <c r="H321" s="511"/>
      <c r="I321" s="511"/>
      <c r="J321" s="511" t="s">
        <v>343</v>
      </c>
      <c r="K321" s="511" t="s">
        <v>315</v>
      </c>
      <c r="L321" s="261"/>
      <c r="M321" s="514">
        <f>N321+O321+P321</f>
        <v>0.238567381292528</v>
      </c>
      <c r="N321" s="672">
        <v>0.1285675834968</v>
      </c>
      <c r="O321" s="514">
        <v>0.107360739924088</v>
      </c>
      <c r="P321" s="514">
        <v>2.63905787164E-3</v>
      </c>
      <c r="Q321" s="673">
        <f>+N321/M321</f>
        <v>0.53891518111251024</v>
      </c>
      <c r="R321" s="674">
        <f>IF(L320="TT",(1.76*N321+0.5*O321+0.13*P321)-AF320,1.76*N321+0.5*O321+0.13*P321)</f>
        <v>0.28030239443972521</v>
      </c>
      <c r="S321" s="674">
        <f>IF(L320="TT",(M321*9.39+N321*6.99+O321*2.36)-AK320,M321*9.39+N321*6.99+O321*2.36)</f>
        <v>3.3922064652003177</v>
      </c>
      <c r="T321" s="674">
        <f>IF(L320="TT",(M321*676.94+N321*101.08+O321*77.38)-AP320,M321*676.94+N321*101.08+O321*77.38)</f>
        <v>182.79898848734638</v>
      </c>
      <c r="U321" s="1022" t="s">
        <v>285</v>
      </c>
      <c r="V321" s="514">
        <v>258.00587999999999</v>
      </c>
      <c r="W321" s="675">
        <f>IF(V321="NA", 0, (V321)*12/N321/43560)</f>
        <v>0.55282986633850095</v>
      </c>
      <c r="X321" s="634" t="str">
        <f t="shared" si="119"/>
        <v>NA</v>
      </c>
      <c r="Y321" s="676">
        <f>IF(X321="NA",0,R321*X321)</f>
        <v>0</v>
      </c>
      <c r="Z321" s="635">
        <f>IF(ISNA(VLOOKUP(J321,'Efficiency Lookup'!$B$2:$C$38,2,FALSE)),0,(VLOOKUP(J321,'Efficiency Lookup'!$B$2:$C$38,2,FALSE)))</f>
        <v>0.5</v>
      </c>
      <c r="AA321" s="139">
        <f>R321*Z321</f>
        <v>0.14015119721986261</v>
      </c>
      <c r="AB321" s="640">
        <f>IF(ISNA(VLOOKUP(K321,'Efficiency Lookup'!$D$2:$E$35,2,FALSE)),0,VLOOKUP(K321,'Efficiency Lookup'!$D$2:$E$35,2,FALSE))</f>
        <v>0.75</v>
      </c>
      <c r="AC321" s="1022">
        <f>R321*AB321</f>
        <v>0.21022679582979392</v>
      </c>
      <c r="AD321" s="637">
        <f>IF(U321="RR",IF((0.0304*(W321^5)-0.2619*(W321^4)+0.9161*(W321^3)-1.6837*(W321^2)+1.7072*W321-0.0091)&gt;0.85,0.85,IF((0.0304*(W321^5)-0.2619*(W321^4)+0.9161*(W321^3)-1.6837*(W321^2)+1.7072*W321-0.0091)&lt;0,0,(0.0304*(W321^5)-0.2619*(W321^4)+0.9161*(W321^3)-1.6837*(W321^2)+1.7072*W321-0.0091))),IF((0.0239*(W321^5)-0.2058*(W321^4)+0.7198*(W321^3)-1.3229*(W321^2)+1.3414*W321-0.0072)&gt;0.65,0.65,IF((0.0239*(W321^5)-0.2058*(W321^4)+0.7198*(W321^3)-1.3229*(W321^2)+1.3414*W321-0.0072)&lt;0,0,(0.0239*(W321^5)-0.2058*(W321^4)+0.7198*(W321^3)-1.3229*(W321^2)+1.3414*W321-0.0072))))</f>
        <v>0.55200542233341243</v>
      </c>
      <c r="AE321" s="139">
        <f>R321*AD321</f>
        <v>0.15472844162376728</v>
      </c>
      <c r="AF321" s="516">
        <f>MAX(Y321,AA321,AC321,AE321)</f>
        <v>0.21022679582979392</v>
      </c>
      <c r="AG321" s="636">
        <f>IF(ISNA(VLOOKUP(K321,'Efficiency Lookup'!$D$2:$G$35,3,FALSE)),0,VLOOKUP(K321,'Efficiency Lookup'!$D$2:$G$35,3,FALSE))</f>
        <v>0.7</v>
      </c>
      <c r="AH321" s="1022">
        <f>S321*AG321</f>
        <v>2.3745445256402222</v>
      </c>
      <c r="AI321" s="637">
        <f>IF(U321="RR",IF((0.0308*(W321^5)-0.2562*(W321^4)+0.8634*(W321^3)-1.5285*(W321^2)+1.501*W321-0.013)&gt;0.7,0.7,IF((0.0308*(W321^5)-0.2562*(W321^4)+0.8634*(W321^3)-1.5285*(W321^2)+1.501*W321-0.013)&lt;0,0,(0.0308*(W321^5)-0.2562*(W321^4)+0.8634*(W321^3)-1.5285*(W321^2)+1.501*W321-0.013))),IF((0.0152*(W321^5)-0.131*(W321^4)+0.4581*(W321^3)-0.8418*(W321^2)+0.8536*W321-0.0046)&gt;0.65,0.65,IF((0.0152*(W321^5)-0.131*(W321^4)+0.4581*(W321^3)-0.8418*(W321^2)+0.8536*W321-0.0046)&lt;0,0,(0.0152*(W321^5)-0.131*(W321^4)+0.4581*(W321^3)-0.8418*(W321^2)+0.8536*W321-0.0046))))</f>
        <v>0.4731933204961784</v>
      </c>
      <c r="AJ321" s="139">
        <f>S321*AI321</f>
        <v>1.6051694410767423</v>
      </c>
      <c r="AK321" s="416">
        <f t="shared" si="96"/>
        <v>2.3745445256402222</v>
      </c>
      <c r="AL321" s="641">
        <f>IF(ISNA(VLOOKUP(K321,'Efficiency Lookup'!$D$2:$G$35,4,FALSE)),0,VLOOKUP(K321,'Efficiency Lookup'!$D$2:$G$35,4,FALSE))</f>
        <v>0.8</v>
      </c>
      <c r="AM321" s="1022">
        <f>T321*AL321</f>
        <v>146.23919078987711</v>
      </c>
      <c r="AN321" s="637">
        <f>IF(U321="RR",IF((0.0326*(W321^5)-0.2806*(W321^4)+0.9816*(W321^3)-1.8039*(W321^2)+1.8292*W321-0.0098)&gt;0.85,0.85,IF((0.0326*(W321^5)-0.2806*(W321^4)+0.9816*(W321^3)-1.8039*(W321^2)+1.8292*W321-0.0098)&lt;0,0,(0.0326*(W321^5)-0.2806*(W321^4)+0.9816*(W321^3)-1.8039*(W321^2)+1.8292*W321-0.0098))),IF((0.0304*(W321^5)-0.2619*(W321^4)+0.9161*(W321^3)-1.6837*(W321^2)+1.7072*W321-0.0091)&gt;0.8,0.8,IF((0.0304*(W321^5)-0.2619*(W321^4)+0.9161*(W321^3)-1.6837*(W321^2)+1.7072*W321-0.0091)&lt;0,0,(0.0304*(W321^5)-0.2619*(W321^4)+0.9161*(W321^3)-1.6837*(W321^2)+1.7072*W321-0.0091))))</f>
        <v>0.59144862238707019</v>
      </c>
      <c r="AO321" s="139">
        <f>T321*AN321</f>
        <v>108.11620991459093</v>
      </c>
      <c r="AP321" s="647">
        <f>IF(AK321=AH321,AM321,AO321)</f>
        <v>146.23919078987711</v>
      </c>
      <c r="AQ321" s="789">
        <f>IF(AF321&lt;0,0,AF321)</f>
        <v>0.21022679582979392</v>
      </c>
      <c r="AR321" s="789">
        <f>IF(AK321&lt;0,0,AK321)</f>
        <v>2.3745445256402222</v>
      </c>
      <c r="AS321" s="790">
        <f>IF(AP321&lt;0,0,AP321)</f>
        <v>146.23919078987711</v>
      </c>
    </row>
    <row r="322" spans="1:45" ht="14.45" customHeight="1" x14ac:dyDescent="0.25">
      <c r="A322" s="261" t="s">
        <v>736</v>
      </c>
      <c r="B322" s="510">
        <v>38.087916999999997</v>
      </c>
      <c r="C322" s="510">
        <v>-78.478196999999994</v>
      </c>
      <c r="D322" s="510" t="s">
        <v>296</v>
      </c>
      <c r="E322" s="511">
        <v>324.02</v>
      </c>
      <c r="F322" s="669">
        <v>39738</v>
      </c>
      <c r="G322" s="510" t="s">
        <v>281</v>
      </c>
      <c r="H322" s="511"/>
      <c r="I322" s="511"/>
      <c r="J322" s="511" t="s">
        <v>343</v>
      </c>
      <c r="K322" s="511" t="s">
        <v>315</v>
      </c>
      <c r="L322" s="261"/>
      <c r="M322" s="514">
        <f>N322+O322+P322</f>
        <v>1.1163804415999661</v>
      </c>
      <c r="N322" s="672">
        <v>0.39887785319833302</v>
      </c>
      <c r="O322" s="514">
        <v>0.56360752232412004</v>
      </c>
      <c r="P322" s="514">
        <v>0.15389506607751299</v>
      </c>
      <c r="Q322" s="673">
        <f>+N322/M322</f>
        <v>0.35729562999748737</v>
      </c>
      <c r="R322" s="674">
        <f>IF(L321="TT",(1.76*N322+0.5*O322+0.13*P322)-AF321,1.76*N322+0.5*O322+0.13*P322)</f>
        <v>1.0038351413812028</v>
      </c>
      <c r="S322" s="674">
        <f>IF(L321="TT",(M322*9.39+N322*6.99+O322*2.36)-AK321,M322*9.39+N322*6.99+O322*2.36)</f>
        <v>14.601082293164954</v>
      </c>
      <c r="T322" s="674">
        <f>IF(L321="TT",(M322*676.94+N322*101.08+O322*77.38)-AP321,M322*676.94+N322*101.08+O322*77.38)</f>
        <v>839.65309961540902</v>
      </c>
      <c r="U322" s="1022" t="s">
        <v>285</v>
      </c>
      <c r="V322" s="514">
        <v>1799.8992000000001</v>
      </c>
      <c r="W322" s="675">
        <f>IF(V322="NA", 0, (V322)*12/N322/43560)</f>
        <v>1.2430873161399982</v>
      </c>
      <c r="X322" s="634" t="str">
        <f t="shared" si="119"/>
        <v>NA</v>
      </c>
      <c r="Y322" s="676">
        <f>IF(X322="NA",0,R322*X322)</f>
        <v>0</v>
      </c>
      <c r="Z322" s="635">
        <f>IF(ISNA(VLOOKUP(J322,'Efficiency Lookup'!$B$2:$C$38,2,FALSE)),0,(VLOOKUP(J322,'Efficiency Lookup'!$B$2:$C$38,2,FALSE)))</f>
        <v>0.5</v>
      </c>
      <c r="AA322" s="139">
        <f>R322*Z322</f>
        <v>0.50191757069060139</v>
      </c>
      <c r="AB322" s="635">
        <f>IF(ISNA(VLOOKUP(K322,'Efficiency Lookup'!$D$2:$E$35,2,FALSE)),0,VLOOKUP(K322,'Efficiency Lookup'!$D$2:$E$35,2,FALSE))</f>
        <v>0.75</v>
      </c>
      <c r="AC322" s="139">
        <f>R322*AB322</f>
        <v>0.75287635603590208</v>
      </c>
      <c r="AD322" s="643">
        <f>IF(U322="RR",IF((0.0304*(W322^5)-0.2619*(W322^4)+0.9161*(W322^3)-1.6837*(W322^2)+1.7072*W322-0.0091)&gt;0.85,0.85,IF((0.0304*(W322^5)-0.2619*(W322^4)+0.9161*(W322^3)-1.6837*(W322^2)+1.7072*W322-0.0091)&lt;0,0,(0.0304*(W322^5)-0.2619*(W322^4)+0.9161*(W322^3)-1.6837*(W322^2)+1.7072*W322-0.0091))),IF((0.0239*(W322^5)-0.2058*(W322^4)+0.7198*(W322^3)-1.3229*(W322^2)+1.3414*W322-0.0072)&gt;0.65,0.65,IF((0.0239*(W322^5)-0.2058*(W322^4)+0.7198*(W322^3)-1.3229*(W322^2)+1.3414*W322-0.0072)&lt;0,0,(0.0239*(W322^5)-0.2058*(W322^4)+0.7198*(W322^3)-1.3229*(W322^2)+1.3414*W322-0.0072))))</f>
        <v>0.73593047448292348</v>
      </c>
      <c r="AE322" s="1022">
        <f>R322*AD322</f>
        <v>0.73875287189930117</v>
      </c>
      <c r="AF322" s="516">
        <f>MAX(Y322,AA322,AC322,AE322)</f>
        <v>0.75287635603590208</v>
      </c>
      <c r="AG322" s="634">
        <f>IF(ISNA(VLOOKUP(K322,'Efficiency Lookup'!$D$2:$G$35,3,FALSE)),0,VLOOKUP(K322,'Efficiency Lookup'!$D$2:$G$35,3,FALSE))</f>
        <v>0.7</v>
      </c>
      <c r="AH322" s="139">
        <f>S322*AG322</f>
        <v>10.220757605215466</v>
      </c>
      <c r="AI322" s="649">
        <f>IF(U322="RR",IF((0.0308*(W322^5)-0.2562*(W322^4)+0.8634*(W322^3)-1.5285*(W322^2)+1.501*W322-0.013)&gt;0.7,0.7,IF((0.0308*(W322^5)-0.2562*(W322^4)+0.8634*(W322^3)-1.5285*(W322^2)+1.501*W322-0.013)&lt;0,0,(0.0308*(W322^5)-0.2562*(W322^4)+0.8634*(W322^3)-1.5285*(W322^2)+1.501*W322-0.013))),IF((0.0152*(W322^5)-0.131*(W322^4)+0.4581*(W322^3)-0.8418*(W322^2)+0.8536*W322-0.0046)&gt;0.65,0.65,IF((0.0152*(W322^5)-0.131*(W322^4)+0.4581*(W322^3)-0.8418*(W322^2)+0.8536*W322-0.0046)&lt;0,0,(0.0152*(W322^5)-0.131*(W322^4)+0.4581*(W322^3)-0.8418*(W322^2)+0.8536*W322-0.0046))))</f>
        <v>0.62909775045405258</v>
      </c>
      <c r="AJ322" s="1022">
        <f>S322*AI322</f>
        <v>9.1855080248245713</v>
      </c>
      <c r="AK322" s="416">
        <f t="shared" si="96"/>
        <v>10.220757605215466</v>
      </c>
      <c r="AL322" s="634">
        <f>IF(ISNA(VLOOKUP(K322,'Efficiency Lookup'!$D$2:$G$35,4,FALSE)),0,VLOOKUP(K322,'Efficiency Lookup'!$D$2:$G$35,4,FALSE))</f>
        <v>0.8</v>
      </c>
      <c r="AM322" s="139">
        <f>T322*AL322</f>
        <v>671.72247969232728</v>
      </c>
      <c r="AN322" s="521">
        <f>IF(U322="RR",IF((0.0326*(W322^5)-0.2806*(W322^4)+0.9816*(W322^3)-1.8039*(W322^2)+1.8292*W322-0.0098)&gt;0.85,0.85,IF((0.0326*(W322^5)-0.2806*(W322^4)+0.9816*(W322^3)-1.8039*(W322^2)+1.8292*W322-0.0098)&lt;0,0,(0.0326*(W322^5)-0.2806*(W322^4)+0.9816*(W322^3)-1.8039*(W322^2)+1.8292*W322-0.0098))),IF((0.0304*(W322^5)-0.2619*(W322^4)+0.9161*(W322^3)-1.6837*(W322^2)+1.7072*W322-0.0091)&gt;0.8,0.8,IF((0.0304*(W322^5)-0.2619*(W322^4)+0.9161*(W322^3)-1.6837*(W322^2)+1.7072*W322-0.0091)&lt;0,0,(0.0304*(W322^5)-0.2619*(W322^4)+0.9161*(W322^3)-1.6837*(W322^2)+1.7072*W322-0.0091))))</f>
        <v>0.78884266020934035</v>
      </c>
      <c r="AO322" s="1005">
        <f>T322*AN322</f>
        <v>662.35418475363747</v>
      </c>
      <c r="AP322" s="647">
        <f>IF(AK322=AH322,AM322,AO322)</f>
        <v>671.72247969232728</v>
      </c>
      <c r="AQ322" s="789">
        <f>IF(AF322&lt;0,0,AF322)</f>
        <v>0.75287635603590208</v>
      </c>
      <c r="AR322" s="789">
        <f>IF(AK322&lt;0,0,AK322)</f>
        <v>10.220757605215466</v>
      </c>
      <c r="AS322" s="790">
        <f>IF(AP322&lt;0,0,AP322)</f>
        <v>671.72247969232728</v>
      </c>
    </row>
    <row r="323" spans="1:45" x14ac:dyDescent="0.25">
      <c r="A323" s="261"/>
      <c r="B323" s="510" t="s">
        <v>297</v>
      </c>
      <c r="C323" s="510" t="s">
        <v>297</v>
      </c>
      <c r="D323" s="510" t="s">
        <v>297</v>
      </c>
      <c r="E323" s="511"/>
      <c r="F323" s="705"/>
      <c r="G323" s="510"/>
      <c r="H323" s="511"/>
      <c r="I323" s="261"/>
      <c r="J323" s="511"/>
      <c r="K323" s="511"/>
      <c r="L323" s="510"/>
      <c r="M323" s="510"/>
      <c r="N323" s="672"/>
      <c r="O323" s="514"/>
      <c r="P323" s="514" t="s">
        <v>297</v>
      </c>
      <c r="Q323" s="688"/>
      <c r="R323" s="674"/>
      <c r="S323" s="674"/>
      <c r="T323" s="674"/>
      <c r="U323" s="1022"/>
      <c r="V323" s="514"/>
      <c r="W323" s="675"/>
      <c r="X323" s="634" t="str">
        <f t="shared" si="119"/>
        <v/>
      </c>
      <c r="Y323" s="676"/>
      <c r="Z323" s="640"/>
      <c r="AA323" s="1022"/>
      <c r="AB323" s="637"/>
      <c r="AC323" s="637"/>
      <c r="AD323" s="637"/>
      <c r="AE323" s="139"/>
      <c r="AF323" s="642"/>
      <c r="AG323" s="583"/>
      <c r="AH323" s="139"/>
      <c r="AI323" s="637"/>
      <c r="AJ323" s="139"/>
      <c r="AK323" s="416" t="str">
        <f t="shared" si="96"/>
        <v/>
      </c>
      <c r="AL323" s="642"/>
      <c r="AM323" s="637"/>
      <c r="AN323" s="637"/>
      <c r="AO323" s="139"/>
      <c r="AP323" s="647"/>
      <c r="AQ323" s="789"/>
      <c r="AR323" s="789"/>
      <c r="AS323" s="790"/>
    </row>
    <row r="324" spans="1:45" x14ac:dyDescent="0.25">
      <c r="A324" s="628"/>
      <c r="B324" s="668" t="s">
        <v>297</v>
      </c>
      <c r="C324" s="668" t="s">
        <v>297</v>
      </c>
      <c r="D324" s="668" t="s">
        <v>297</v>
      </c>
      <c r="E324" s="710"/>
      <c r="F324" s="711"/>
      <c r="G324" s="668"/>
      <c r="H324" s="712"/>
      <c r="I324" s="712"/>
      <c r="J324" s="712"/>
      <c r="K324" s="712"/>
      <c r="L324" s="712"/>
      <c r="M324" s="712"/>
      <c r="N324" s="712"/>
      <c r="O324" s="712"/>
      <c r="P324" s="712"/>
      <c r="Q324" s="712"/>
      <c r="R324" s="712"/>
      <c r="S324" s="712"/>
      <c r="T324" s="712"/>
      <c r="U324" s="712"/>
      <c r="V324" s="712"/>
      <c r="W324" s="712"/>
      <c r="X324" s="763" t="str">
        <f t="shared" si="119"/>
        <v/>
      </c>
      <c r="Y324" s="720"/>
      <c r="Z324" s="712"/>
      <c r="AA324" s="712"/>
      <c r="AB324" s="638"/>
      <c r="AC324" s="638"/>
      <c r="AD324" s="638"/>
      <c r="AE324" s="629"/>
      <c r="AF324" s="666"/>
      <c r="AG324" s="666"/>
      <c r="AH324" s="629"/>
      <c r="AI324" s="638"/>
      <c r="AJ324" s="629"/>
      <c r="AK324" s="639" t="str">
        <f t="shared" si="96"/>
        <v/>
      </c>
      <c r="AL324" s="644"/>
      <c r="AM324" s="638"/>
      <c r="AN324" s="638"/>
      <c r="AO324" s="629"/>
      <c r="AP324" s="648"/>
      <c r="AQ324" s="791"/>
      <c r="AR324" s="791"/>
      <c r="AS324" s="792"/>
    </row>
    <row r="325" spans="1:45" ht="14.45" customHeight="1" x14ac:dyDescent="0.25">
      <c r="A325" s="261"/>
      <c r="B325" s="510" t="s">
        <v>297</v>
      </c>
      <c r="C325" s="510" t="s">
        <v>297</v>
      </c>
      <c r="D325" s="510" t="s">
        <v>297</v>
      </c>
      <c r="E325" s="704"/>
      <c r="F325" s="705"/>
      <c r="G325" s="510"/>
      <c r="H325" s="511"/>
      <c r="I325" s="261"/>
      <c r="J325" s="511"/>
      <c r="K325" s="511"/>
      <c r="L325" s="510"/>
      <c r="M325" s="510"/>
      <c r="N325" s="672"/>
      <c r="O325" s="514"/>
      <c r="P325" s="514" t="s">
        <v>297</v>
      </c>
      <c r="Q325" s="688"/>
      <c r="R325" s="674"/>
      <c r="S325" s="674"/>
      <c r="T325" s="674"/>
      <c r="U325" s="1022"/>
      <c r="V325" s="514"/>
      <c r="W325" s="675"/>
      <c r="X325" s="634" t="str">
        <f t="shared" si="119"/>
        <v/>
      </c>
      <c r="Y325" s="676"/>
      <c r="Z325" s="640"/>
      <c r="AA325" s="1022"/>
      <c r="AB325" s="637"/>
      <c r="AC325" s="637"/>
      <c r="AD325" s="637"/>
      <c r="AE325" s="139"/>
      <c r="AF325" s="642"/>
      <c r="AG325" s="583"/>
      <c r="AH325" s="139"/>
      <c r="AI325" s="637"/>
      <c r="AJ325" s="139"/>
      <c r="AK325" s="416" t="str">
        <f t="shared" si="96"/>
        <v/>
      </c>
      <c r="AL325" s="642"/>
      <c r="AM325" s="637"/>
      <c r="AN325" s="637"/>
      <c r="AO325" s="139"/>
      <c r="AP325" s="647"/>
      <c r="AQ325" s="789"/>
      <c r="AR325" s="789"/>
      <c r="AS325" s="790"/>
    </row>
    <row r="326" spans="1:45" ht="30" x14ac:dyDescent="0.25">
      <c r="A326" s="261" t="s">
        <v>737</v>
      </c>
      <c r="B326" s="510">
        <v>38.091997999999997</v>
      </c>
      <c r="C326" s="510">
        <v>-78.473939999999999</v>
      </c>
      <c r="D326" s="510" t="s">
        <v>296</v>
      </c>
      <c r="E326" s="511">
        <v>174.01</v>
      </c>
      <c r="F326" s="669">
        <v>40065</v>
      </c>
      <c r="G326" s="510" t="s">
        <v>281</v>
      </c>
      <c r="H326" s="670"/>
      <c r="I326" s="670"/>
      <c r="J326" s="511" t="s">
        <v>343</v>
      </c>
      <c r="K326" s="511" t="s">
        <v>315</v>
      </c>
      <c r="L326" s="671"/>
      <c r="M326" s="671">
        <f>N326+O326+P326</f>
        <v>0.29665517853430001</v>
      </c>
      <c r="N326" s="672">
        <v>0.19607990680530002</v>
      </c>
      <c r="O326" s="514">
        <v>0.10057527172899999</v>
      </c>
      <c r="P326" s="514">
        <v>0</v>
      </c>
      <c r="Q326" s="673">
        <f>+N326/M326</f>
        <v>0.6609691014803194</v>
      </c>
      <c r="R326" s="674">
        <f>IF(L325="TT",(1.76*N326+0.5*O326+0.13*P326)-AF325,1.76*N326+0.5*O326+0.13*P326)</f>
        <v>0.39538827184182801</v>
      </c>
      <c r="S326" s="674">
        <f>IF(L325="TT",(M326*9.39+N326*6.99+O326*2.36)-AK325,M326*9.39+N326*6.99+O326*2.36)</f>
        <v>4.3935483162865641</v>
      </c>
      <c r="T326" s="674">
        <f>IF(L325="TT",(M326*676.94+N326*101.08+O326*77.38)-AP325,M326*676.94+N326*101.08+O326*77.38)</f>
        <v>228.42002806327881</v>
      </c>
      <c r="U326" s="1022" t="s">
        <v>285</v>
      </c>
      <c r="V326" s="514">
        <v>98.4</v>
      </c>
      <c r="W326" s="675">
        <f>IF(V326="NA", 0, (V326)*12/N326/43560)</f>
        <v>0.13824689361692524</v>
      </c>
      <c r="X326" s="634" t="str">
        <f t="shared" si="119"/>
        <v>NA</v>
      </c>
      <c r="Y326" s="676">
        <f>IF(X326="NA",0,R326*X326)</f>
        <v>0</v>
      </c>
      <c r="Z326" s="635">
        <f>IF(ISNA(VLOOKUP(J326,'Efficiency Lookup'!$B$2:$C$38,2,FALSE)),0,(VLOOKUP(J326,'Efficiency Lookup'!$B$2:$C$38,2,FALSE)))</f>
        <v>0.5</v>
      </c>
      <c r="AA326" s="139">
        <f>R326*Z326</f>
        <v>0.197694135920914</v>
      </c>
      <c r="AB326" s="640">
        <f>IF(ISNA(VLOOKUP(K326,'Efficiency Lookup'!$D$2:$E$35,2,FALSE)),0,VLOOKUP(K326,'Efficiency Lookup'!$D$2:$E$35,2,FALSE))</f>
        <v>0.75</v>
      </c>
      <c r="AC326" s="1022">
        <f>R326*AB326</f>
        <v>0.29654120388137101</v>
      </c>
      <c r="AD326" s="637">
        <f>IF(U326="RR",IF((0.0304*(W326^5)-0.2619*(W326^4)+0.9161*(W326^3)-1.6837*(W326^2)+1.7072*W326-0.0091)&gt;0.85,0.85,IF((0.0304*(W326^5)-0.2619*(W326^4)+0.9161*(W326^3)-1.6837*(W326^2)+1.7072*W326-0.0091)&lt;0,0,(0.0304*(W326^5)-0.2619*(W326^4)+0.9161*(W326^3)-1.6837*(W326^2)+1.7072*W326-0.0091))),IF((0.0239*(W326^5)-0.2058*(W326^4)+0.7198*(W326^3)-1.3229*(W326^2)+1.3414*W326-0.0072)&gt;0.65,0.65,IF((0.0239*(W326^5)-0.2058*(W326^4)+0.7198*(W326^3)-1.3229*(W326^2)+1.3414*W326-0.0072)&lt;0,0,(0.0239*(W326^5)-0.2058*(W326^4)+0.7198*(W326^3)-1.3229*(W326^2)+1.3414*W326-0.0072))))</f>
        <v>0.19706227083351741</v>
      </c>
      <c r="AE326" s="139">
        <f>R326*AD326</f>
        <v>7.7916110710090719E-2</v>
      </c>
      <c r="AF326" s="516">
        <f>MAX(Y326,AA326,AC326,AE326)</f>
        <v>0.29654120388137101</v>
      </c>
      <c r="AG326" s="636">
        <f>IF(ISNA(VLOOKUP(K326,'Efficiency Lookup'!$D$2:$G$35,3,FALSE)),0,VLOOKUP(K326,'Efficiency Lookup'!$D$2:$G$35,3,FALSE))</f>
        <v>0.7</v>
      </c>
      <c r="AH326" s="1022">
        <f>S326*AG326</f>
        <v>3.0754838214005948</v>
      </c>
      <c r="AI326" s="637">
        <f>IF(U326="RR",IF((0.0308*(W326^5)-0.2562*(W326^4)+0.8634*(W326^3)-1.5285*(W326^2)+1.501*W326-0.013)&gt;0.7,0.7,IF((0.0308*(W326^5)-0.2562*(W326^4)+0.8634*(W326^3)-1.5285*(W326^2)+1.501*W326-0.013)&lt;0,0,(0.0308*(W326^5)-0.2562*(W326^4)+0.8634*(W326^3)-1.5285*(W326^2)+1.501*W326-0.013))),IF((0.0152*(W326^5)-0.131*(W326^4)+0.4581*(W326^3)-0.8418*(W326^2)+0.8536*W326-0.0046)&gt;0.65,0.65,IF((0.0152*(W326^5)-0.131*(W326^4)+0.4581*(W326^3)-0.8418*(W326^2)+0.8536*W326-0.0046)&lt;0,0,(0.0152*(W326^5)-0.131*(W326^4)+0.4581*(W326^3)-0.8418*(W326^2)+0.8536*W326-0.0046))))</f>
        <v>0.16748483355564037</v>
      </c>
      <c r="AJ326" s="139">
        <f>S326*AI326</f>
        <v>0.73585270847191919</v>
      </c>
      <c r="AK326" s="416">
        <f t="shared" ref="AK326:AK334" si="164">IF(AJ326="","",IF(OR(AF326=Y326,AF326=AA326),MAX(AH326,AJ326),IF(AF326=AC326,AH326,IF(AF326=AE326,AJ326))))</f>
        <v>3.0754838214005948</v>
      </c>
      <c r="AL326" s="641">
        <f>IF(ISNA(VLOOKUP(K326,'Efficiency Lookup'!$D$2:$G$35,4,FALSE)),0,VLOOKUP(K326,'Efficiency Lookup'!$D$2:$G$35,4,FALSE))</f>
        <v>0.8</v>
      </c>
      <c r="AM326" s="1022">
        <f>T326*AL326</f>
        <v>182.73602245062307</v>
      </c>
      <c r="AN326" s="637">
        <f>IF(U326="RR",IF((0.0326*(W326^5)-0.2806*(W326^4)+0.9816*(W326^3)-1.8039*(W326^2)+1.8292*W326-0.0098)&gt;0.85,0.85,IF((0.0326*(W326^5)-0.2806*(W326^4)+0.9816*(W326^3)-1.8039*(W326^2)+1.8292*W326-0.0098)&lt;0,0,(0.0326*(W326^5)-0.2806*(W326^4)+0.9816*(W326^3)-1.8039*(W326^2)+1.8292*W326-0.0098))),IF((0.0304*(W326^5)-0.2619*(W326^4)+0.9161*(W326^3)-1.6837*(W326^2)+1.7072*W326-0.0091)&gt;0.8,0.8,IF((0.0304*(W326^5)-0.2619*(W326^4)+0.9161*(W326^3)-1.6837*(W326^2)+1.7072*W326-0.0091)&lt;0,0,(0.0304*(W326^5)-0.2619*(W326^4)+0.9161*(W326^3)-1.6837*(W326^2)+1.7072*W326-0.0091))))</f>
        <v>0.21109744969359628</v>
      </c>
      <c r="AO326" s="139">
        <f>T326*AN326</f>
        <v>48.218885383097849</v>
      </c>
      <c r="AP326" s="416">
        <f>IF(AK326=AH326,AM326,AO326)</f>
        <v>182.73602245062307</v>
      </c>
      <c r="AQ326" s="793">
        <f>IF(AF326&lt;0,0,AF326)</f>
        <v>0.29654120388137101</v>
      </c>
      <c r="AR326" s="789">
        <f>IF(AK326&lt;0,0,AK326)</f>
        <v>3.0754838214005948</v>
      </c>
      <c r="AS326" s="790">
        <f>IF(AP326&lt;0,0,AP326)</f>
        <v>182.73602245062307</v>
      </c>
    </row>
    <row r="327" spans="1:45" x14ac:dyDescent="0.25">
      <c r="A327" s="261"/>
      <c r="B327" s="510" t="s">
        <v>297</v>
      </c>
      <c r="C327" s="510" t="s">
        <v>297</v>
      </c>
      <c r="D327" s="510" t="s">
        <v>297</v>
      </c>
      <c r="E327" s="510"/>
      <c r="F327" s="692"/>
      <c r="G327" s="670"/>
      <c r="H327" s="261"/>
      <c r="I327" s="261"/>
      <c r="J327" s="261"/>
      <c r="K327" s="261"/>
      <c r="L327" s="671"/>
      <c r="M327" s="671"/>
      <c r="N327" s="671"/>
      <c r="O327" s="671"/>
      <c r="P327" s="261"/>
      <c r="X327" s="762" t="str">
        <f t="shared" si="119"/>
        <v/>
      </c>
      <c r="AA327" s="70"/>
      <c r="AF327" s="516"/>
      <c r="AG327" s="681"/>
      <c r="AK327" s="756" t="str">
        <f t="shared" si="164"/>
        <v/>
      </c>
      <c r="AL327" s="681"/>
      <c r="AN327" s="70"/>
      <c r="AP327" s="681"/>
      <c r="AQ327" s="681"/>
    </row>
    <row r="328" spans="1:45" x14ac:dyDescent="0.25">
      <c r="A328" s="628"/>
      <c r="B328" s="668" t="s">
        <v>297</v>
      </c>
      <c r="C328" s="668" t="s">
        <v>297</v>
      </c>
      <c r="D328" s="668" t="s">
        <v>297</v>
      </c>
      <c r="E328" s="710"/>
      <c r="F328" s="711"/>
      <c r="G328" s="668"/>
      <c r="H328" s="712"/>
      <c r="I328" s="712"/>
      <c r="J328" s="712"/>
      <c r="K328" s="712"/>
      <c r="L328" s="712"/>
      <c r="M328" s="712"/>
      <c r="N328" s="712"/>
      <c r="O328" s="712"/>
      <c r="P328" s="712"/>
      <c r="Q328" s="712"/>
      <c r="R328" s="712"/>
      <c r="S328" s="712"/>
      <c r="T328" s="712"/>
      <c r="U328" s="712"/>
      <c r="V328" s="712"/>
      <c r="W328" s="712"/>
      <c r="X328" s="760" t="str">
        <f t="shared" si="119"/>
        <v/>
      </c>
      <c r="Y328" s="713"/>
      <c r="Z328" s="712"/>
      <c r="AA328" s="712"/>
      <c r="AB328" s="638"/>
      <c r="AC328" s="638"/>
      <c r="AD328" s="638"/>
      <c r="AE328" s="629"/>
      <c r="AF328" s="666"/>
      <c r="AG328" s="666"/>
      <c r="AH328" s="629"/>
      <c r="AI328" s="638"/>
      <c r="AJ328" s="629"/>
      <c r="AK328" s="639" t="str">
        <f t="shared" si="164"/>
        <v/>
      </c>
      <c r="AL328" s="644"/>
      <c r="AM328" s="638"/>
      <c r="AN328" s="638"/>
      <c r="AO328" s="629"/>
      <c r="AP328" s="639"/>
      <c r="AQ328" s="794"/>
      <c r="AR328" s="791"/>
      <c r="AS328" s="792"/>
    </row>
    <row r="329" spans="1:45" ht="14.45" customHeight="1" x14ac:dyDescent="0.25">
      <c r="A329" s="261"/>
      <c r="B329" s="510" t="s">
        <v>297</v>
      </c>
      <c r="C329" s="510" t="s">
        <v>297</v>
      </c>
      <c r="D329" s="510" t="s">
        <v>297</v>
      </c>
      <c r="E329" s="704"/>
      <c r="F329" s="669"/>
      <c r="G329" s="510"/>
      <c r="H329" s="511"/>
      <c r="I329" s="261"/>
      <c r="J329" s="511"/>
      <c r="K329" s="511"/>
      <c r="L329" s="510"/>
      <c r="M329" s="510"/>
      <c r="N329" s="672"/>
      <c r="O329" s="514"/>
      <c r="P329" s="514" t="s">
        <v>297</v>
      </c>
      <c r="Q329" s="688"/>
      <c r="R329" s="674"/>
      <c r="S329" s="674"/>
      <c r="T329" s="674"/>
      <c r="U329" s="1022"/>
      <c r="V329" s="514"/>
      <c r="W329" s="675"/>
      <c r="X329" s="636" t="str">
        <f t="shared" si="119"/>
        <v/>
      </c>
      <c r="Y329" s="706"/>
      <c r="Z329" s="640"/>
      <c r="AA329" s="1022"/>
      <c r="AB329" s="637"/>
      <c r="AC329" s="637"/>
      <c r="AD329" s="637"/>
      <c r="AE329" s="139"/>
      <c r="AF329" s="642"/>
      <c r="AG329" s="583"/>
      <c r="AH329" s="139"/>
      <c r="AI329" s="637"/>
      <c r="AJ329" s="139"/>
      <c r="AK329" s="416" t="str">
        <f t="shared" si="164"/>
        <v/>
      </c>
      <c r="AL329" s="642"/>
      <c r="AM329" s="637"/>
      <c r="AN329" s="637"/>
      <c r="AO329" s="139"/>
      <c r="AP329" s="416"/>
      <c r="AQ329" s="793"/>
      <c r="AR329" s="789"/>
      <c r="AS329" s="790"/>
    </row>
    <row r="330" spans="1:45" ht="14.45" customHeight="1" x14ac:dyDescent="0.25">
      <c r="A330" s="261" t="s">
        <v>738</v>
      </c>
      <c r="B330" s="510">
        <v>38.019871000000002</v>
      </c>
      <c r="C330" s="510">
        <v>-78.462514999999996</v>
      </c>
      <c r="D330" s="510" t="s">
        <v>296</v>
      </c>
      <c r="E330" s="704">
        <v>110.02</v>
      </c>
      <c r="F330" s="669">
        <v>39653</v>
      </c>
      <c r="G330" s="510" t="s">
        <v>331</v>
      </c>
      <c r="H330" s="511" t="s">
        <v>423</v>
      </c>
      <c r="I330" s="511"/>
      <c r="J330" s="511" t="s">
        <v>367</v>
      </c>
      <c r="K330" s="511" t="s">
        <v>334</v>
      </c>
      <c r="L330" s="510"/>
      <c r="M330" s="514">
        <f>N330+O330+P330</f>
        <v>0.62909284091166007</v>
      </c>
      <c r="N330" s="672">
        <v>0.20848382440300001</v>
      </c>
      <c r="O330" s="514">
        <v>0.41595810883038004</v>
      </c>
      <c r="P330" s="514">
        <v>4.65090767828E-3</v>
      </c>
      <c r="Q330" s="673">
        <f>+N330/M330</f>
        <v>0.33140390550442811</v>
      </c>
      <c r="R330" s="674">
        <f>IF(L329="TT",(1.76*N330+0.5*O330+0.13*P330)-AF329,1.76*N330+0.5*O330+0.13*P330)</f>
        <v>0.57551520336264639</v>
      </c>
      <c r="S330" s="674">
        <f>IF(L329="TT",(M330*9.39+N330*6.99+O330*2.36)-AK329,M330*9.39+N330*6.99+O330*2.36)</f>
        <v>8.3461448455771539</v>
      </c>
      <c r="T330" s="674">
        <f>IF(L329="TT",(M330*676.94+N330*101.08+O330*77.38)-AP329,M330*676.94+N330*101.08+O330*77.38)</f>
        <v>479.11849115868927</v>
      </c>
      <c r="U330" s="1022" t="s">
        <v>285</v>
      </c>
      <c r="V330" s="514" t="s">
        <v>295</v>
      </c>
      <c r="W330" s="675">
        <f>IF(V330="NA", 0, (V330)*12/N330)</f>
        <v>0</v>
      </c>
      <c r="X330" s="634" t="str">
        <f t="shared" si="119"/>
        <v>NA</v>
      </c>
      <c r="Y330" s="676">
        <f>IF(X330="NA",0,R330*X330)</f>
        <v>0</v>
      </c>
      <c r="Z330" s="635">
        <f>IF(ISNA(VLOOKUP(J330,'Efficiency Lookup'!$B$2:$C$38,2,FALSE)),0,(VLOOKUP(J330,'Efficiency Lookup'!$B$2:$C$38,2,FALSE)))</f>
        <v>0.35</v>
      </c>
      <c r="AA330" s="139">
        <f>R330*Z330</f>
        <v>0.20143032117692622</v>
      </c>
      <c r="AB330" s="640">
        <f>IF(ISNA(VLOOKUP(K330,'Efficiency Lookup'!$D$2:$E$35,2,FALSE)),0,VLOOKUP(K330,'Efficiency Lookup'!$D$2:$E$35,2,FALSE))</f>
        <v>0.75</v>
      </c>
      <c r="AC330" s="1022">
        <f>R330*AB330</f>
        <v>0.43163640252198476</v>
      </c>
      <c r="AD330" s="637">
        <f>IF(U330="RR",IF((0.0304*(W330^5)-0.2619*(W330^4)+0.9161*(W330^3)-1.6837*(W330^2)+1.7072*W330-0.0091)&gt;0.85,0.85,IF((0.0304*(W330^5)-0.2619*(W330^4)+0.9161*(W330^3)-1.6837*(W330^2)+1.7072*W330-0.0091)&lt;0,0,(0.0304*(W330^5)-0.2619*(W330^4)+0.9161*(W330^3)-1.6837*(W330^2)+1.7072*W330-0.0091))),IF((0.0239*(W330^5)-0.2058*(W330^4)+0.7198*(W330^3)-1.3229*(W330^2)+1.3414*W330-0.0072)&gt;0.65,0.65,IF((0.0239*(W330^5)-0.2058*(W330^4)+0.7198*(W330^3)-1.3229*(W330^2)+1.3414*W330-0.0072)&lt;0,0,(0.0239*(W330^5)-0.2058*(W330^4)+0.7198*(W330^3)-1.3229*(W330^2)+1.3414*W330-0.0072))))</f>
        <v>0</v>
      </c>
      <c r="AE330" s="139">
        <f>R330*AD330</f>
        <v>0</v>
      </c>
      <c r="AF330" s="516">
        <f>MAX(Y330,AA330,AC330,AE330)</f>
        <v>0.43163640252198476</v>
      </c>
      <c r="AG330" s="636">
        <f>IF(ISNA(VLOOKUP(K330,'Efficiency Lookup'!$D$2:$G$35,3,FALSE)),0,VLOOKUP(K330,'Efficiency Lookup'!$D$2:$G$35,3,FALSE))</f>
        <v>0.7</v>
      </c>
      <c r="AH330" s="1022">
        <f>S330*AG330</f>
        <v>5.842301391904007</v>
      </c>
      <c r="AI330" s="637">
        <f>IF(U330="RR",IF((0.0308*(W330^5)-0.2562*(W330^4)+0.8634*(W330^3)-1.5285*(W330^2)+1.501*W330-0.013)&gt;0.7,0.7,IF((0.0308*(W330^5)-0.2562*(W330^4)+0.8634*(W330^3)-1.5285*(W330^2)+1.501*W330-0.013)&lt;0,0,(0.0308*(W330^5)-0.2562*(W330^4)+0.8634*(W330^3)-1.5285*(W330^2)+1.501*W330-0.013))),IF((0.0152*(W330^5)-0.131*(W330^4)+0.4581*(W330^3)-0.8418*(W330^2)+0.8536*W330-0.0046)&gt;0.65,0.65,IF((0.0152*(W330^5)-0.131*(W330^4)+0.4581*(W330^3)-0.8418*(W330^2)+0.8536*W330-0.0046)&lt;0,0,(0.0152*(W330^5)-0.131*(W330^4)+0.4581*(W330^3)-0.8418*(W330^2)+0.8536*W330-0.0046))))</f>
        <v>0</v>
      </c>
      <c r="AJ330" s="139">
        <f>S330*AI330</f>
        <v>0</v>
      </c>
      <c r="AK330" s="416">
        <f t="shared" si="164"/>
        <v>5.842301391904007</v>
      </c>
      <c r="AL330" s="641">
        <f>IF(ISNA(VLOOKUP(K330,'Efficiency Lookup'!$D$2:$G$35,4,FALSE)),0,VLOOKUP(K330,'Efficiency Lookup'!$D$2:$G$35,4,FALSE))</f>
        <v>0.8</v>
      </c>
      <c r="AM330" s="1022">
        <f>T330*AL330</f>
        <v>383.29479292695146</v>
      </c>
      <c r="AN330" s="637">
        <f>IF(U330="RR",IF((0.0326*(W330^5)-0.2806*(W330^4)+0.9816*(W330^3)-1.8039*(W330^2)+1.8292*W330-0.0098)&gt;0.85,0.85,IF((0.0326*(W330^5)-0.2806*(W330^4)+0.9816*(W330^3)-1.8039*(W330^2)+1.8292*W330-0.0098)&lt;0,0,(0.0326*(W330^5)-0.2806*(W330^4)+0.9816*(W330^3)-1.8039*(W330^2)+1.8292*W330-0.0098))),IF((0.0304*(W330^5)-0.2619*(W330^4)+0.9161*(W330^3)-1.6837*(W330^2)+1.7072*W330-0.0091)&gt;0.8,0.8,IF((0.0304*(W330^5)-0.2619*(W330^4)+0.9161*(W330^3)-1.6837*(W330^2)+1.7072*W330-0.0091)&lt;0,0,(0.0304*(W330^5)-0.2619*(W330^4)+0.9161*(W330^3)-1.6837*(W330^2)+1.7072*W330-0.0091))))</f>
        <v>0</v>
      </c>
      <c r="AO330" s="139">
        <f>T330*AN330</f>
        <v>0</v>
      </c>
      <c r="AP330" s="647">
        <f>IF(AK330=AH330,AM330,AO330)</f>
        <v>383.29479292695146</v>
      </c>
      <c r="AQ330" s="789">
        <f>IF(AF330&lt;0,0,AF330)</f>
        <v>0.43163640252198476</v>
      </c>
      <c r="AR330" s="789">
        <f>IF(AK330&lt;0,0,AK330)</f>
        <v>5.842301391904007</v>
      </c>
      <c r="AS330" s="790">
        <f>IF(AP330&lt;0,0,AP330)</f>
        <v>383.29479292695146</v>
      </c>
    </row>
    <row r="331" spans="1:45" x14ac:dyDescent="0.25">
      <c r="A331" s="261"/>
      <c r="B331" s="510" t="s">
        <v>297</v>
      </c>
      <c r="C331" s="510" t="s">
        <v>297</v>
      </c>
      <c r="D331" s="510" t="s">
        <v>297</v>
      </c>
      <c r="E331" s="511"/>
      <c r="F331" s="669"/>
      <c r="G331" s="510"/>
      <c r="H331" s="511"/>
      <c r="I331" s="261" t="str">
        <f>IF(G331="","",IF(G331="Proprietary","Filterra","Clearinghouse Not Used"))</f>
        <v/>
      </c>
      <c r="J331" s="511"/>
      <c r="K331" s="511"/>
      <c r="L331" s="510"/>
      <c r="M331" s="510"/>
      <c r="N331" s="672"/>
      <c r="O331" s="514"/>
      <c r="P331" s="514" t="s">
        <v>297</v>
      </c>
      <c r="Q331" s="688"/>
      <c r="R331" s="674"/>
      <c r="S331" s="674"/>
      <c r="T331" s="674"/>
      <c r="U331" s="1022"/>
      <c r="V331" s="514"/>
      <c r="W331" s="675"/>
      <c r="X331" s="636" t="str">
        <f t="shared" si="119"/>
        <v/>
      </c>
      <c r="Y331" s="706"/>
      <c r="Z331" s="640"/>
      <c r="AA331" s="1022"/>
      <c r="AB331" s="637"/>
      <c r="AC331" s="637"/>
      <c r="AD331" s="637"/>
      <c r="AE331" s="139"/>
      <c r="AF331" s="642"/>
      <c r="AG331" s="583"/>
      <c r="AH331" s="139"/>
      <c r="AI331" s="637"/>
      <c r="AJ331" s="139"/>
      <c r="AK331" s="416" t="str">
        <f t="shared" si="164"/>
        <v/>
      </c>
      <c r="AL331" s="642"/>
      <c r="AM331" s="637"/>
      <c r="AN331" s="637"/>
      <c r="AO331" s="139"/>
      <c r="AP331" s="647"/>
      <c r="AQ331" s="789"/>
      <c r="AR331" s="789"/>
      <c r="AS331" s="790"/>
    </row>
    <row r="332" spans="1:45" x14ac:dyDescent="0.25">
      <c r="A332" s="628"/>
      <c r="B332" s="668" t="s">
        <v>297</v>
      </c>
      <c r="C332" s="668" t="s">
        <v>297</v>
      </c>
      <c r="D332" s="668" t="s">
        <v>297</v>
      </c>
      <c r="E332" s="710"/>
      <c r="F332" s="716"/>
      <c r="G332" s="668"/>
      <c r="H332" s="712"/>
      <c r="I332" s="712" t="str">
        <f>IF(G332="","",IF(G332="Proprietary","Filterra","Clearinghouse Not Used"))</f>
        <v/>
      </c>
      <c r="J332" s="712"/>
      <c r="K332" s="712"/>
      <c r="L332" s="712"/>
      <c r="M332" s="712"/>
      <c r="N332" s="712"/>
      <c r="O332" s="712"/>
      <c r="P332" s="712"/>
      <c r="Q332" s="712"/>
      <c r="R332" s="712"/>
      <c r="S332" s="712"/>
      <c r="T332" s="712"/>
      <c r="U332" s="712"/>
      <c r="V332" s="712"/>
      <c r="W332" s="712"/>
      <c r="X332" s="760" t="str">
        <f t="shared" si="119"/>
        <v/>
      </c>
      <c r="Y332" s="713"/>
      <c r="Z332" s="712"/>
      <c r="AA332" s="712"/>
      <c r="AB332" s="638"/>
      <c r="AC332" s="638"/>
      <c r="AD332" s="638"/>
      <c r="AE332" s="629"/>
      <c r="AF332" s="666"/>
      <c r="AG332" s="666"/>
      <c r="AH332" s="629"/>
      <c r="AI332" s="638"/>
      <c r="AJ332" s="629"/>
      <c r="AK332" s="639" t="str">
        <f t="shared" si="164"/>
        <v/>
      </c>
      <c r="AL332" s="644"/>
      <c r="AM332" s="638"/>
      <c r="AN332" s="638"/>
      <c r="AO332" s="629"/>
      <c r="AP332" s="648"/>
      <c r="AQ332" s="791"/>
      <c r="AR332" s="791"/>
      <c r="AS332" s="792"/>
    </row>
    <row r="333" spans="1:45" ht="14.45" customHeight="1" x14ac:dyDescent="0.25">
      <c r="A333" s="261"/>
      <c r="B333" s="510" t="s">
        <v>297</v>
      </c>
      <c r="C333" s="510" t="s">
        <v>297</v>
      </c>
      <c r="D333" s="510" t="s">
        <v>297</v>
      </c>
      <c r="E333" s="704"/>
      <c r="F333" s="705"/>
      <c r="G333" s="510"/>
      <c r="H333" s="511"/>
      <c r="I333" s="261" t="str">
        <f>IF(G333="","",IF(G333="Proprietary","Filterra","Clearinghouse Not Used"))</f>
        <v/>
      </c>
      <c r="J333" s="511"/>
      <c r="K333" s="511"/>
      <c r="L333" s="510"/>
      <c r="M333" s="510"/>
      <c r="N333" s="672"/>
      <c r="O333" s="514"/>
      <c r="P333" s="514" t="s">
        <v>297</v>
      </c>
      <c r="Q333" s="688"/>
      <c r="R333" s="674"/>
      <c r="S333" s="674"/>
      <c r="T333" s="674"/>
      <c r="U333" s="1022"/>
      <c r="V333" s="514"/>
      <c r="W333" s="675"/>
      <c r="X333" s="636" t="str">
        <f t="shared" si="119"/>
        <v/>
      </c>
      <c r="Y333" s="706"/>
      <c r="Z333" s="640"/>
      <c r="AA333" s="1022"/>
      <c r="AB333" s="637"/>
      <c r="AC333" s="637"/>
      <c r="AD333" s="637"/>
      <c r="AE333" s="139"/>
      <c r="AF333" s="642"/>
      <c r="AG333" s="583"/>
      <c r="AH333" s="139"/>
      <c r="AI333" s="637"/>
      <c r="AJ333" s="139"/>
      <c r="AK333" s="416" t="str">
        <f t="shared" si="164"/>
        <v/>
      </c>
      <c r="AL333" s="642"/>
      <c r="AM333" s="637"/>
      <c r="AN333" s="637"/>
      <c r="AO333" s="139"/>
      <c r="AP333" s="647"/>
      <c r="AQ333" s="789"/>
      <c r="AR333" s="789"/>
      <c r="AS333" s="790"/>
    </row>
    <row r="334" spans="1:45" x14ac:dyDescent="0.25">
      <c r="A334" s="261" t="s">
        <v>739</v>
      </c>
      <c r="B334" s="510">
        <v>38.077433999999997</v>
      </c>
      <c r="C334" s="510">
        <v>-78.468332000000004</v>
      </c>
      <c r="D334" s="510" t="s">
        <v>296</v>
      </c>
      <c r="E334" s="511">
        <v>320.01</v>
      </c>
      <c r="F334" s="669">
        <v>39664</v>
      </c>
      <c r="G334" s="510" t="s">
        <v>289</v>
      </c>
      <c r="H334" s="511" t="s">
        <v>740</v>
      </c>
      <c r="I334" s="511" t="str">
        <f>IF(G334="","",IF(G334="Proprietary","Filterra","Clearinghouse Not Used"))</f>
        <v>Filterra</v>
      </c>
      <c r="J334" s="511"/>
      <c r="K334" s="511"/>
      <c r="L334" s="261"/>
      <c r="M334" s="514">
        <f>N334+O334+P334</f>
        <v>0.69583670713599999</v>
      </c>
      <c r="N334" s="672">
        <v>0.40602558225199997</v>
      </c>
      <c r="O334" s="514">
        <v>0.130469899537</v>
      </c>
      <c r="P334" s="514">
        <v>0.15934122534699999</v>
      </c>
      <c r="Q334" s="673">
        <f>+N334/M334</f>
        <v>0.58350698962571834</v>
      </c>
      <c r="R334" s="674">
        <f>IF(L333="TT",(1.76*N334+0.5*O334+0.13*P334)-AF333,1.76*N334+0.5*O334+0.13*P334)</f>
        <v>0.80055433382712993</v>
      </c>
      <c r="S334" s="674">
        <f>IF(L333="TT",(M334*9.39+N334*6.99+O334*2.36)-AK333,M334*9.39+N334*6.99+O334*2.36)</f>
        <v>9.6799344628558401</v>
      </c>
      <c r="T334" s="674">
        <f>IF(L333="TT",(M334*676.94+N334*101.08+O334*77.38)-AP333,M334*676.94+N334*101.08+O334*77.38)</f>
        <v>522.17652720884917</v>
      </c>
      <c r="U334" s="1022" t="s">
        <v>278</v>
      </c>
      <c r="V334" s="514">
        <v>53.1</v>
      </c>
      <c r="W334" s="675">
        <f>IF(V334="NA", 0, (V334)*12/N334/43560)</f>
        <v>3.6027530808329176E-2</v>
      </c>
      <c r="X334" s="636">
        <f t="shared" si="119"/>
        <v>0.5</v>
      </c>
      <c r="Y334" s="706">
        <f>IF(X334="NA",0,R334*X334)</f>
        <v>0.40027716691356496</v>
      </c>
      <c r="Z334" s="635">
        <f>IF(ISNA(VLOOKUP(J334,'Efficiency Lookup'!$B$2:$C$38,2,FALSE)),0,(VLOOKUP(J334,'Efficiency Lookup'!$B$2:$C$38,2,FALSE)))</f>
        <v>0</v>
      </c>
      <c r="AA334" s="139">
        <f>R334*Z334</f>
        <v>0</v>
      </c>
      <c r="AB334" s="635">
        <f>IF(ISNA(VLOOKUP(K334,'Efficiency Lookup'!$D$2:$E$35,2,FALSE)),0,VLOOKUP(K334,'Efficiency Lookup'!$D$2:$E$35,2,FALSE))</f>
        <v>0</v>
      </c>
      <c r="AC334" s="139">
        <f>R334*AB334</f>
        <v>0</v>
      </c>
      <c r="AD334" s="637">
        <f>IF(U334="RR",IF((0.0304*(W334^5)-0.2619*(W334^4)+0.9161*(W334^3)-1.6837*(W334^2)+1.7072*W334-0.0091)&gt;0.85,0.85,IF((0.0304*(W334^5)-0.2619*(W334^4)+0.9161*(W334^3)-1.6837*(W334^2)+1.7072*W334-0.0091)&lt;0,0,(0.0304*(W334^5)-0.2619*(W334^4)+0.9161*(W334^3)-1.6837*(W334^2)+1.7072*W334-0.0091))),IF((0.0239*(W334^5)-0.2058*(W334^4)+0.7198*(W334^3)-1.3229*(W334^2)+1.3414*W334-0.0072)&gt;0.65,0.65,IF((0.0239*(W334^5)-0.2058*(W334^4)+0.7198*(W334^3)-1.3229*(W334^2)+1.3414*W334-0.0072)&lt;0,0,(0.0239*(W334^5)-0.2058*(W334^4)+0.7198*(W334^3)-1.3229*(W334^2)+1.3414*W334-0.0072))))</f>
        <v>3.9443542969230257E-2</v>
      </c>
      <c r="AE334" s="139">
        <f>R334*AD334</f>
        <v>3.1576699265513902E-2</v>
      </c>
      <c r="AF334" s="516">
        <f>MAX(Y334,AA334,AC334,AE334)</f>
        <v>0.40027716691356496</v>
      </c>
      <c r="AG334" s="634">
        <f>IF(ISNA(VLOOKUP(K334,'Efficiency Lookup'!$D$2:$G$35,3,FALSE)),0,VLOOKUP(K334,'Efficiency Lookup'!$D$2:$G$35,3,FALSE))</f>
        <v>0</v>
      </c>
      <c r="AH334" s="139">
        <f>S334*AG334</f>
        <v>0</v>
      </c>
      <c r="AI334" s="649">
        <f>IF(U334="RR",IF((0.0308*(W334^5)-0.2562*(W334^4)+0.8634*(W334^3)-1.5285*(W334^2)+1.501*W334-0.013)&gt;0.7,0.7,IF((0.0308*(W334^5)-0.2562*(W334^4)+0.8634*(W334^3)-1.5285*(W334^2)+1.501*W334-0.013)&lt;0,0,(0.0308*(W334^5)-0.2562*(W334^4)+0.8634*(W334^3)-1.5285*(W334^2)+1.501*W334-0.013))),IF((0.0152*(W334^5)-0.131*(W334^4)+0.4581*(W334^3)-0.8418*(W334^2)+0.8536*W334-0.0046)&gt;0.65,0.65,IF((0.0152*(W334^5)-0.131*(W334^4)+0.4581*(W334^3)-0.8418*(W334^2)+0.8536*W334-0.0046)&lt;0,0,(0.0152*(W334^5)-0.131*(W334^4)+0.4581*(W334^3)-0.8418*(W334^2)+0.8536*W334-0.0046))))</f>
        <v>2.5081660633775038E-2</v>
      </c>
      <c r="AJ334" s="1022">
        <f>S334*AI334</f>
        <v>0.24278883115453365</v>
      </c>
      <c r="AK334" s="416">
        <f t="shared" si="164"/>
        <v>0.24278883115453365</v>
      </c>
      <c r="AL334" s="634">
        <f>IF(ISNA(VLOOKUP(K334,'Efficiency Lookup'!$D$2:$G$35,4,FALSE)),0,VLOOKUP(K334,'Efficiency Lookup'!$D$2:$G$35,4,FALSE))</f>
        <v>0</v>
      </c>
      <c r="AM334" s="139">
        <f>T334*AL334</f>
        <v>0</v>
      </c>
      <c r="AN334" s="521">
        <f>IF(U334="RR",IF((0.0326*(W334^5)-0.2806*(W334^4)+0.9816*(W334^3)-1.8039*(W334^2)+1.8292*W334-0.0098)&gt;0.85,0.85,IF((0.0326*(W334^5)-0.2806*(W334^4)+0.9816*(W334^3)-1.8039*(W334^2)+1.8292*W334-0.0098)&lt;0,0,(0.0326*(W334^5)-0.2806*(W334^4)+0.9816*(W334^3)-1.8039*(W334^2)+1.8292*W334-0.0098))),IF((0.0304*(W334^5)-0.2619*(W334^4)+0.9161*(W334^3)-1.6837*(W334^2)+1.7072*W334-0.0091)&gt;0.8,0.8,IF((0.0304*(W334^5)-0.2619*(W334^4)+0.9161*(W334^3)-1.6837*(W334^2)+1.7072*W334-0.0091)&lt;0,0,(0.0304*(W334^5)-0.2619*(W334^4)+0.9161*(W334^3)-1.6837*(W334^2)+1.7072*W334-0.0091))))</f>
        <v>5.0263186961416267E-2</v>
      </c>
      <c r="AO334" s="1005">
        <f>T334*AN334</f>
        <v>26.246256413961454</v>
      </c>
      <c r="AP334" s="647">
        <f>IF(AK334=AH334,AM334,AO334)</f>
        <v>26.246256413961454</v>
      </c>
      <c r="AQ334" s="789">
        <f>IF(AF334&lt;0,0,AF334)</f>
        <v>0.40027716691356496</v>
      </c>
      <c r="AR334" s="789">
        <f>IF(AK334&lt;0,0,AK334)</f>
        <v>0.24278883115453365</v>
      </c>
      <c r="AS334" s="790">
        <f>IF(AP334&lt;0,0,AP334)</f>
        <v>26.246256413961454</v>
      </c>
    </row>
    <row r="335" spans="1:45" x14ac:dyDescent="0.25">
      <c r="A335" s="261"/>
      <c r="B335" s="510"/>
      <c r="C335" s="510"/>
      <c r="D335" s="510"/>
      <c r="E335" s="511"/>
      <c r="F335" s="705"/>
      <c r="G335" s="510"/>
      <c r="H335" s="511"/>
      <c r="I335" s="261"/>
      <c r="J335" s="511"/>
      <c r="K335" s="511"/>
      <c r="L335" s="510"/>
      <c r="M335" s="510"/>
      <c r="N335" s="672"/>
      <c r="O335" s="514"/>
      <c r="P335" s="514" t="s">
        <v>297</v>
      </c>
      <c r="Q335" s="688"/>
      <c r="R335" s="674"/>
      <c r="S335" s="674"/>
      <c r="T335" s="674"/>
      <c r="U335" s="1022"/>
      <c r="V335" s="514"/>
      <c r="W335" s="675"/>
      <c r="X335" s="636" t="str">
        <f t="shared" si="119"/>
        <v/>
      </c>
      <c r="Y335" s="706"/>
      <c r="Z335" s="640"/>
      <c r="AA335" s="1022"/>
      <c r="AB335" s="637"/>
      <c r="AC335" s="637"/>
      <c r="AD335" s="637"/>
      <c r="AE335" s="139"/>
      <c r="AF335" s="642"/>
      <c r="AG335" s="583"/>
      <c r="AH335" s="139"/>
      <c r="AI335" s="637"/>
      <c r="AJ335" s="139"/>
      <c r="AK335" s="416"/>
      <c r="AL335" s="642"/>
      <c r="AM335" s="637"/>
      <c r="AN335" s="637"/>
      <c r="AO335" s="139"/>
      <c r="AP335" s="647"/>
      <c r="AQ335" s="789"/>
      <c r="AR335" s="789"/>
      <c r="AS335" s="790"/>
    </row>
    <row r="336" spans="1:45" x14ac:dyDescent="0.25">
      <c r="A336" s="628"/>
      <c r="B336" s="668"/>
      <c r="C336" s="668"/>
      <c r="D336" s="668"/>
      <c r="E336" s="710"/>
      <c r="F336" s="711"/>
      <c r="G336" s="668"/>
      <c r="H336" s="712"/>
      <c r="I336" s="712"/>
      <c r="J336" s="712"/>
      <c r="K336" s="712"/>
      <c r="L336" s="712"/>
      <c r="M336" s="712"/>
      <c r="N336" s="712"/>
      <c r="O336" s="712"/>
      <c r="P336" s="712"/>
      <c r="Q336" s="712"/>
      <c r="R336" s="712"/>
      <c r="S336" s="712"/>
      <c r="T336" s="712"/>
      <c r="U336" s="712"/>
      <c r="V336" s="712"/>
      <c r="W336" s="712"/>
      <c r="X336" s="760" t="str">
        <f t="shared" si="119"/>
        <v/>
      </c>
      <c r="Y336" s="713"/>
      <c r="Z336" s="712"/>
      <c r="AA336" s="712"/>
      <c r="AB336" s="638"/>
      <c r="AC336" s="638"/>
      <c r="AD336" s="638"/>
      <c r="AE336" s="629"/>
      <c r="AF336" s="666"/>
      <c r="AG336" s="666"/>
      <c r="AH336" s="629"/>
      <c r="AI336" s="638"/>
      <c r="AJ336" s="629"/>
      <c r="AK336" s="639"/>
      <c r="AL336" s="644"/>
      <c r="AM336" s="638"/>
      <c r="AN336" s="638"/>
      <c r="AO336" s="629"/>
      <c r="AP336" s="648"/>
      <c r="AQ336" s="791"/>
      <c r="AR336" s="791"/>
      <c r="AS336" s="792"/>
    </row>
    <row r="337" spans="1:45" x14ac:dyDescent="0.25">
      <c r="A337" s="261"/>
      <c r="B337" s="510"/>
      <c r="C337" s="510"/>
      <c r="D337" s="510"/>
      <c r="E337" s="510"/>
      <c r="F337" s="692"/>
      <c r="G337" s="261"/>
      <c r="H337" s="670"/>
      <c r="I337" s="670"/>
      <c r="J337" s="261"/>
      <c r="K337" s="261"/>
      <c r="L337" s="261"/>
      <c r="M337" s="671"/>
      <c r="N337" s="671"/>
      <c r="O337" s="671"/>
      <c r="P337" s="671"/>
      <c r="Q337" s="688"/>
      <c r="R337" s="674"/>
      <c r="S337" s="674"/>
      <c r="T337" s="674"/>
      <c r="U337" s="1022"/>
      <c r="V337" s="514"/>
      <c r="W337" s="675"/>
      <c r="X337" s="672"/>
      <c r="Y337" s="706"/>
      <c r="Z337" s="635"/>
      <c r="AA337" s="139"/>
      <c r="AB337" s="640"/>
      <c r="AC337" s="1022"/>
      <c r="AD337" s="637"/>
      <c r="AE337" s="139"/>
      <c r="AF337" s="1022"/>
      <c r="AG337" s="640"/>
      <c r="AH337" s="1022"/>
      <c r="AI337" s="637"/>
      <c r="AJ337" s="139"/>
      <c r="AK337" s="1005"/>
      <c r="AL337" s="1061"/>
      <c r="AM337" s="1022"/>
      <c r="AN337" s="637"/>
      <c r="AO337" s="139"/>
      <c r="AP337" s="1005"/>
      <c r="AQ337" s="789"/>
      <c r="AR337" s="789"/>
      <c r="AS337" s="789"/>
    </row>
    <row r="338" spans="1:45" x14ac:dyDescent="0.25">
      <c r="A338" s="261"/>
      <c r="B338" s="510"/>
      <c r="C338" s="510"/>
      <c r="D338" s="510"/>
      <c r="E338" s="510"/>
      <c r="F338" s="692"/>
      <c r="G338" s="510"/>
      <c r="H338" s="511"/>
      <c r="I338" s="511"/>
      <c r="J338" s="511"/>
      <c r="K338" s="511"/>
      <c r="L338" s="671"/>
      <c r="M338" s="671"/>
      <c r="N338" s="671"/>
      <c r="O338" s="671"/>
      <c r="P338" s="261"/>
      <c r="Q338" s="688"/>
      <c r="R338" s="674"/>
      <c r="S338" s="674"/>
      <c r="T338" s="674"/>
      <c r="U338" s="1022"/>
      <c r="V338" s="514"/>
      <c r="W338" s="675"/>
      <c r="X338" s="672"/>
      <c r="Y338" s="706"/>
      <c r="Z338" s="635"/>
      <c r="AA338" s="139"/>
      <c r="AB338" s="640"/>
      <c r="AC338" s="1022"/>
      <c r="AD338" s="637"/>
      <c r="AE338" s="139"/>
      <c r="AF338" s="1022"/>
      <c r="AG338" s="640"/>
      <c r="AH338" s="1022"/>
      <c r="AI338" s="637"/>
      <c r="AJ338" s="139"/>
      <c r="AK338" s="1005"/>
      <c r="AL338" s="1061"/>
      <c r="AM338" s="1022"/>
      <c r="AN338" s="637"/>
      <c r="AO338" s="139"/>
      <c r="AP338" s="1005"/>
      <c r="AQ338" s="789"/>
      <c r="AR338" s="789"/>
      <c r="AS338" s="789"/>
    </row>
    <row r="339" spans="1:45" x14ac:dyDescent="0.25">
      <c r="A339" s="261"/>
      <c r="B339" s="510"/>
      <c r="C339" s="510"/>
      <c r="D339" s="510"/>
      <c r="E339" s="510"/>
      <c r="F339" s="692"/>
      <c r="G339" s="510"/>
      <c r="H339" s="511"/>
      <c r="I339" s="511"/>
      <c r="J339" s="511"/>
      <c r="K339" s="511"/>
      <c r="L339" s="671"/>
      <c r="M339" s="671"/>
      <c r="N339" s="671"/>
      <c r="O339" s="671"/>
      <c r="P339" s="261"/>
      <c r="Q339" s="688"/>
      <c r="R339" s="674"/>
      <c r="S339" s="674"/>
      <c r="T339" s="674"/>
      <c r="U339" s="1022"/>
      <c r="V339" s="514"/>
      <c r="W339" s="675"/>
      <c r="X339" s="672"/>
      <c r="Y339" s="706"/>
      <c r="Z339" s="635"/>
      <c r="AA339" s="139"/>
      <c r="AB339" s="640"/>
      <c r="AC339" s="1022"/>
      <c r="AD339" s="637"/>
      <c r="AE339" s="139"/>
      <c r="AF339" s="1022"/>
      <c r="AG339" s="640"/>
      <c r="AH339" s="1022"/>
      <c r="AI339" s="637"/>
      <c r="AJ339" s="139"/>
      <c r="AK339" s="1005"/>
      <c r="AL339" s="1061"/>
      <c r="AM339" s="1022"/>
      <c r="AN339" s="637"/>
      <c r="AO339" s="139"/>
      <c r="AP339" s="1005"/>
      <c r="AQ339" s="789"/>
      <c r="AR339" s="789"/>
      <c r="AS339" s="789"/>
    </row>
    <row r="340" spans="1:45" x14ac:dyDescent="0.25">
      <c r="A340" s="261"/>
      <c r="B340" s="510"/>
      <c r="C340" s="510"/>
      <c r="D340" s="510"/>
      <c r="E340" s="510"/>
      <c r="F340" s="692"/>
      <c r="G340" s="670"/>
      <c r="H340" s="261"/>
      <c r="I340" s="261"/>
      <c r="J340" s="261"/>
      <c r="K340" s="261"/>
      <c r="L340" s="671"/>
      <c r="M340" s="671"/>
      <c r="N340" s="671"/>
      <c r="O340" s="671"/>
      <c r="P340" s="261"/>
      <c r="AA340" s="70"/>
      <c r="AN340" s="70"/>
    </row>
    <row r="341" spans="1:45" x14ac:dyDescent="0.25">
      <c r="A341" s="261"/>
      <c r="B341" s="510"/>
      <c r="C341" s="510"/>
      <c r="D341" s="510"/>
      <c r="E341" s="510"/>
      <c r="F341" s="692"/>
      <c r="G341" s="261"/>
      <c r="H341" s="670"/>
      <c r="I341" s="670"/>
      <c r="J341" s="261"/>
      <c r="K341" s="261"/>
      <c r="L341" s="261"/>
      <c r="M341" s="671"/>
      <c r="N341" s="671"/>
      <c r="O341" s="671"/>
      <c r="P341" s="671"/>
      <c r="Q341" s="688"/>
      <c r="R341" s="674"/>
      <c r="S341" s="674"/>
      <c r="T341" s="674"/>
      <c r="U341" s="1022"/>
      <c r="V341" s="514"/>
      <c r="W341" s="675"/>
      <c r="X341" s="672"/>
      <c r="Y341" s="706"/>
      <c r="Z341" s="635"/>
      <c r="AA341" s="139"/>
      <c r="AB341" s="640"/>
      <c r="AC341" s="1022"/>
      <c r="AD341" s="637"/>
      <c r="AE341" s="139"/>
      <c r="AF341" s="1022"/>
      <c r="AG341" s="640"/>
      <c r="AH341" s="1022"/>
      <c r="AI341" s="637"/>
      <c r="AJ341" s="139"/>
      <c r="AK341" s="1005"/>
      <c r="AL341" s="1061"/>
      <c r="AM341" s="1022"/>
      <c r="AN341" s="637"/>
      <c r="AO341" s="139"/>
      <c r="AP341" s="1005"/>
      <c r="AQ341" s="789"/>
      <c r="AR341" s="789"/>
      <c r="AS341" s="789"/>
    </row>
    <row r="342" spans="1:45" x14ac:dyDescent="0.25">
      <c r="A342" s="261"/>
      <c r="B342" s="510"/>
      <c r="C342" s="510"/>
      <c r="D342" s="510"/>
      <c r="E342" s="510"/>
      <c r="F342" s="692"/>
      <c r="G342" s="261"/>
      <c r="H342" s="670"/>
      <c r="I342" s="670"/>
      <c r="J342" s="261"/>
      <c r="K342" s="261"/>
      <c r="L342" s="261"/>
      <c r="M342" s="671"/>
      <c r="N342" s="671"/>
      <c r="O342" s="671"/>
      <c r="P342" s="671"/>
      <c r="Q342" s="688"/>
      <c r="R342" s="674"/>
      <c r="S342" s="674"/>
      <c r="T342" s="674"/>
      <c r="U342" s="1022"/>
      <c r="V342" s="514"/>
      <c r="W342" s="675"/>
      <c r="X342" s="672"/>
      <c r="Y342" s="706"/>
      <c r="Z342" s="635"/>
      <c r="AA342" s="139"/>
      <c r="AB342" s="640"/>
      <c r="AC342" s="1022"/>
      <c r="AD342" s="637"/>
      <c r="AE342" s="139"/>
      <c r="AF342" s="1022"/>
      <c r="AG342" s="640"/>
      <c r="AH342" s="1022"/>
      <c r="AI342" s="637"/>
      <c r="AJ342" s="139"/>
      <c r="AK342" s="1005"/>
      <c r="AL342" s="1061"/>
      <c r="AM342" s="1022"/>
      <c r="AN342" s="637"/>
      <c r="AO342" s="139"/>
      <c r="AP342" s="1005"/>
      <c r="AQ342" s="789"/>
      <c r="AR342" s="789"/>
      <c r="AS342" s="789"/>
    </row>
    <row r="343" spans="1:45" x14ac:dyDescent="0.25">
      <c r="A343" s="261"/>
      <c r="B343" s="510"/>
      <c r="C343" s="510"/>
      <c r="D343" s="510"/>
      <c r="E343" s="510"/>
      <c r="F343" s="692"/>
      <c r="G343" s="510"/>
      <c r="H343" s="511"/>
      <c r="I343" s="511"/>
      <c r="J343" s="511"/>
      <c r="K343" s="511"/>
      <c r="L343" s="671"/>
      <c r="M343" s="671"/>
      <c r="N343" s="671"/>
      <c r="O343" s="671"/>
      <c r="P343" s="261"/>
      <c r="Q343" s="688"/>
      <c r="R343" s="674"/>
      <c r="S343" s="674"/>
      <c r="T343" s="674"/>
      <c r="U343" s="1022"/>
      <c r="V343" s="514"/>
      <c r="W343" s="675"/>
      <c r="X343" s="672"/>
      <c r="Y343" s="706"/>
      <c r="Z343" s="635"/>
      <c r="AA343" s="139"/>
      <c r="AB343" s="640"/>
      <c r="AC343" s="1022"/>
      <c r="AD343" s="637"/>
      <c r="AE343" s="139"/>
      <c r="AF343" s="1022"/>
      <c r="AG343" s="640"/>
      <c r="AH343" s="1022"/>
      <c r="AI343" s="637"/>
      <c r="AJ343" s="139"/>
      <c r="AK343" s="1005"/>
      <c r="AL343" s="1061"/>
      <c r="AM343" s="1022"/>
      <c r="AN343" s="637"/>
      <c r="AO343" s="139"/>
      <c r="AP343" s="1005"/>
      <c r="AQ343" s="789"/>
      <c r="AR343" s="789"/>
      <c r="AS343" s="789"/>
    </row>
    <row r="344" spans="1:45" x14ac:dyDescent="0.25">
      <c r="A344" s="261"/>
      <c r="B344" s="510"/>
      <c r="C344" s="510"/>
      <c r="D344" s="510"/>
      <c r="E344" s="510"/>
      <c r="F344" s="692"/>
      <c r="G344" s="670"/>
      <c r="H344" s="261"/>
      <c r="I344" s="261"/>
      <c r="J344" s="261"/>
      <c r="K344" s="261"/>
      <c r="L344" s="671"/>
      <c r="M344" s="671"/>
      <c r="N344" s="671"/>
      <c r="O344" s="671"/>
      <c r="P344" s="261"/>
      <c r="AA344" s="70"/>
      <c r="AN344" s="70"/>
    </row>
    <row r="345" spans="1:45" x14ac:dyDescent="0.25">
      <c r="A345" s="261"/>
      <c r="B345" s="510"/>
      <c r="C345" s="510"/>
      <c r="D345" s="510"/>
      <c r="E345" s="510"/>
      <c r="F345" s="692"/>
      <c r="G345" s="261"/>
      <c r="H345" s="670"/>
      <c r="I345" s="670"/>
      <c r="J345" s="261"/>
      <c r="K345" s="261"/>
      <c r="L345" s="261"/>
      <c r="M345" s="671"/>
      <c r="N345" s="671"/>
      <c r="O345" s="671"/>
      <c r="P345" s="671"/>
      <c r="Q345" s="688"/>
      <c r="R345" s="674"/>
      <c r="S345" s="674"/>
      <c r="T345" s="674"/>
      <c r="U345" s="1022"/>
      <c r="V345" s="514"/>
      <c r="W345" s="675"/>
      <c r="X345" s="672"/>
      <c r="Y345" s="706"/>
      <c r="Z345" s="635"/>
      <c r="AA345" s="139"/>
      <c r="AB345" s="640"/>
      <c r="AC345" s="1022"/>
      <c r="AD345" s="637"/>
      <c r="AE345" s="139"/>
      <c r="AF345" s="1022"/>
      <c r="AG345" s="640"/>
      <c r="AH345" s="1022"/>
      <c r="AI345" s="637"/>
      <c r="AJ345" s="139"/>
      <c r="AK345" s="1005"/>
      <c r="AL345" s="1061"/>
      <c r="AM345" s="1022"/>
      <c r="AN345" s="637"/>
      <c r="AO345" s="139"/>
      <c r="AP345" s="1005"/>
      <c r="AQ345" s="789"/>
      <c r="AR345" s="789"/>
      <c r="AS345" s="789"/>
    </row>
    <row r="346" spans="1:45" x14ac:dyDescent="0.25">
      <c r="A346" s="261"/>
      <c r="B346" s="510"/>
      <c r="C346" s="510"/>
      <c r="D346" s="510"/>
      <c r="E346" s="510"/>
      <c r="F346" s="692"/>
      <c r="G346" s="261"/>
      <c r="H346" s="670"/>
      <c r="I346" s="670"/>
      <c r="J346" s="261"/>
      <c r="K346" s="261"/>
      <c r="L346" s="261"/>
      <c r="M346" s="671"/>
      <c r="N346" s="671"/>
      <c r="O346" s="671"/>
      <c r="P346" s="671"/>
      <c r="Q346" s="688"/>
      <c r="R346" s="674"/>
      <c r="S346" s="674"/>
      <c r="T346" s="674"/>
      <c r="U346" s="1022"/>
      <c r="V346" s="514"/>
      <c r="W346" s="675"/>
      <c r="X346" s="672"/>
      <c r="Y346" s="706"/>
      <c r="Z346" s="635"/>
      <c r="AA346" s="139"/>
      <c r="AB346" s="640"/>
      <c r="AC346" s="1022"/>
      <c r="AD346" s="637"/>
      <c r="AE346" s="139"/>
      <c r="AF346" s="1022"/>
      <c r="AG346" s="640"/>
      <c r="AH346" s="1022"/>
      <c r="AI346" s="637"/>
      <c r="AJ346" s="139"/>
      <c r="AK346" s="1005"/>
      <c r="AL346" s="1061"/>
      <c r="AM346" s="1022"/>
      <c r="AN346" s="637"/>
      <c r="AO346" s="139"/>
      <c r="AP346" s="1005"/>
      <c r="AQ346" s="789"/>
      <c r="AR346" s="789"/>
      <c r="AS346" s="789"/>
    </row>
    <row r="347" spans="1:45" x14ac:dyDescent="0.25">
      <c r="A347" s="261"/>
      <c r="B347" s="510"/>
      <c r="C347" s="510"/>
      <c r="D347" s="510"/>
      <c r="E347" s="510"/>
      <c r="F347" s="692"/>
      <c r="G347" s="510"/>
      <c r="H347" s="511"/>
      <c r="I347" s="511"/>
      <c r="J347" s="511"/>
      <c r="K347" s="511"/>
      <c r="L347" s="671"/>
      <c r="M347" s="671"/>
      <c r="N347" s="671"/>
      <c r="O347" s="671"/>
      <c r="P347" s="261"/>
      <c r="Q347" s="688"/>
      <c r="R347" s="674"/>
      <c r="S347" s="674"/>
      <c r="T347" s="674"/>
      <c r="U347" s="1022"/>
      <c r="V347" s="514"/>
      <c r="W347" s="675"/>
      <c r="X347" s="672"/>
      <c r="Y347" s="706"/>
      <c r="Z347" s="635"/>
      <c r="AA347" s="139"/>
      <c r="AB347" s="640"/>
      <c r="AC347" s="1022"/>
      <c r="AD347" s="637"/>
      <c r="AE347" s="139"/>
      <c r="AF347" s="1022"/>
      <c r="AG347" s="640"/>
      <c r="AH347" s="1022"/>
      <c r="AI347" s="637"/>
      <c r="AJ347" s="139"/>
      <c r="AK347" s="1005"/>
      <c r="AL347" s="1061"/>
      <c r="AM347" s="1022"/>
      <c r="AN347" s="637"/>
      <c r="AO347" s="139"/>
      <c r="AP347" s="1005"/>
      <c r="AQ347" s="789"/>
      <c r="AR347" s="789"/>
      <c r="AS347" s="789"/>
    </row>
    <row r="348" spans="1:45" x14ac:dyDescent="0.25">
      <c r="A348" s="261"/>
      <c r="B348" s="510"/>
      <c r="C348" s="510"/>
      <c r="D348" s="510"/>
      <c r="E348" s="510"/>
      <c r="F348" s="692"/>
      <c r="G348" s="510"/>
      <c r="H348" s="511"/>
      <c r="I348" s="511"/>
      <c r="J348" s="511"/>
      <c r="K348" s="511"/>
      <c r="L348" s="671"/>
      <c r="M348" s="671"/>
      <c r="N348" s="671"/>
      <c r="O348" s="671"/>
      <c r="P348" s="261"/>
      <c r="Q348" s="688"/>
      <c r="R348" s="674"/>
      <c r="S348" s="674"/>
      <c r="T348" s="674"/>
      <c r="U348" s="1022"/>
      <c r="V348" s="514"/>
      <c r="W348" s="675"/>
      <c r="X348" s="672"/>
      <c r="Y348" s="706"/>
      <c r="Z348" s="635"/>
      <c r="AA348" s="139"/>
      <c r="AB348" s="640"/>
      <c r="AC348" s="1022"/>
      <c r="AD348" s="637"/>
      <c r="AE348" s="139"/>
      <c r="AF348" s="1022"/>
      <c r="AG348" s="640"/>
      <c r="AH348" s="1022"/>
      <c r="AI348" s="637"/>
      <c r="AJ348" s="139"/>
      <c r="AK348" s="1005"/>
      <c r="AL348" s="1061"/>
      <c r="AM348" s="1022"/>
      <c r="AN348" s="637"/>
      <c r="AO348" s="139"/>
      <c r="AP348" s="1005"/>
      <c r="AQ348" s="789"/>
      <c r="AR348" s="789"/>
      <c r="AS348" s="789"/>
    </row>
    <row r="349" spans="1:45" x14ac:dyDescent="0.25">
      <c r="A349" s="261"/>
      <c r="B349" s="510"/>
      <c r="C349" s="510"/>
      <c r="D349" s="510"/>
      <c r="E349" s="510"/>
      <c r="F349" s="692"/>
      <c r="G349" s="510"/>
      <c r="H349" s="511"/>
      <c r="I349" s="511"/>
      <c r="J349" s="511"/>
      <c r="K349" s="511"/>
      <c r="L349" s="671"/>
      <c r="M349" s="671"/>
      <c r="N349" s="671"/>
      <c r="O349" s="671"/>
      <c r="P349" s="261"/>
      <c r="Q349" s="688"/>
      <c r="R349" s="674"/>
      <c r="S349" s="674"/>
      <c r="T349" s="674"/>
      <c r="U349" s="1022"/>
      <c r="V349" s="514"/>
      <c r="W349" s="675"/>
      <c r="X349" s="672"/>
      <c r="Y349" s="706"/>
      <c r="Z349" s="635"/>
      <c r="AA349" s="139"/>
      <c r="AB349" s="640"/>
      <c r="AC349" s="1022"/>
      <c r="AD349" s="637"/>
      <c r="AE349" s="139"/>
      <c r="AF349" s="1022"/>
      <c r="AG349" s="640"/>
      <c r="AH349" s="1022"/>
      <c r="AI349" s="637"/>
      <c r="AJ349" s="139"/>
      <c r="AK349" s="1005"/>
      <c r="AL349" s="1061"/>
      <c r="AM349" s="1022"/>
      <c r="AN349" s="637"/>
      <c r="AO349" s="139"/>
      <c r="AP349" s="1005"/>
      <c r="AQ349" s="789"/>
      <c r="AR349" s="789"/>
      <c r="AS349" s="789"/>
    </row>
    <row r="350" spans="1:45" x14ac:dyDescent="0.25">
      <c r="A350" s="261"/>
      <c r="B350" s="510"/>
      <c r="C350" s="510"/>
      <c r="D350" s="510"/>
      <c r="E350" s="510"/>
      <c r="F350" s="692"/>
      <c r="G350" s="510"/>
      <c r="H350" s="511"/>
      <c r="I350" s="511"/>
      <c r="J350" s="511"/>
      <c r="K350" s="511"/>
      <c r="L350" s="671"/>
      <c r="M350" s="671"/>
      <c r="N350" s="671"/>
      <c r="O350" s="671"/>
      <c r="P350" s="261"/>
      <c r="Q350" s="688"/>
      <c r="R350" s="674"/>
      <c r="S350" s="674"/>
      <c r="T350" s="674"/>
      <c r="U350" s="1022"/>
      <c r="V350" s="514"/>
      <c r="W350" s="675"/>
      <c r="X350" s="672"/>
      <c r="Y350" s="706"/>
      <c r="Z350" s="635"/>
      <c r="AA350" s="139"/>
      <c r="AB350" s="640"/>
      <c r="AC350" s="1022"/>
      <c r="AD350" s="637"/>
      <c r="AE350" s="139"/>
      <c r="AF350" s="1022"/>
      <c r="AG350" s="640"/>
      <c r="AH350" s="1022"/>
      <c r="AI350" s="637"/>
      <c r="AJ350" s="139"/>
      <c r="AK350" s="1005"/>
      <c r="AL350" s="1061"/>
      <c r="AM350" s="1022"/>
      <c r="AN350" s="637"/>
      <c r="AO350" s="139"/>
      <c r="AP350" s="1005"/>
      <c r="AQ350" s="789"/>
      <c r="AR350" s="789"/>
      <c r="AS350" s="789"/>
    </row>
    <row r="351" spans="1:45" x14ac:dyDescent="0.25">
      <c r="A351" s="261"/>
      <c r="B351" s="510"/>
      <c r="C351" s="510"/>
      <c r="D351" s="510"/>
      <c r="E351" s="510"/>
      <c r="F351" s="692"/>
      <c r="G351" s="510"/>
      <c r="H351" s="511"/>
      <c r="I351" s="511"/>
      <c r="J351" s="511"/>
      <c r="K351" s="511"/>
      <c r="L351" s="671"/>
      <c r="M351" s="671"/>
      <c r="N351" s="671"/>
      <c r="O351" s="671"/>
      <c r="P351" s="261"/>
      <c r="Q351" s="688"/>
      <c r="R351" s="674"/>
      <c r="S351" s="674"/>
      <c r="T351" s="674"/>
      <c r="U351" s="1022"/>
      <c r="V351" s="514"/>
      <c r="W351" s="675"/>
      <c r="X351" s="672"/>
      <c r="Y351" s="706"/>
      <c r="Z351" s="635"/>
      <c r="AA351" s="139"/>
      <c r="AB351" s="640"/>
      <c r="AC351" s="1022"/>
      <c r="AD351" s="637"/>
      <c r="AE351" s="139"/>
      <c r="AF351" s="1022"/>
      <c r="AG351" s="640"/>
      <c r="AH351" s="1022"/>
      <c r="AI351" s="637"/>
      <c r="AJ351" s="139"/>
      <c r="AK351" s="1005"/>
      <c r="AL351" s="1061"/>
      <c r="AM351" s="1022"/>
      <c r="AN351" s="637"/>
      <c r="AO351" s="139"/>
      <c r="AP351" s="1005"/>
      <c r="AQ351" s="789"/>
      <c r="AR351" s="789"/>
      <c r="AS351" s="789"/>
    </row>
    <row r="352" spans="1:45" x14ac:dyDescent="0.25">
      <c r="A352" s="261"/>
      <c r="B352" s="510"/>
      <c r="C352" s="510"/>
      <c r="D352" s="510"/>
      <c r="E352" s="510"/>
      <c r="F352" s="692"/>
      <c r="G352" s="510"/>
      <c r="H352" s="511"/>
      <c r="I352" s="511"/>
      <c r="J352" s="511"/>
      <c r="K352" s="511"/>
      <c r="L352" s="514"/>
      <c r="M352" s="671"/>
      <c r="N352" s="671"/>
      <c r="O352" s="671"/>
      <c r="P352" s="261"/>
      <c r="Q352" s="688"/>
      <c r="R352" s="674"/>
      <c r="S352" s="674"/>
      <c r="T352" s="674"/>
      <c r="U352" s="1022"/>
      <c r="V352" s="514"/>
      <c r="W352" s="675"/>
      <c r="X352" s="672"/>
      <c r="Y352" s="706"/>
      <c r="Z352" s="635"/>
      <c r="AA352" s="139"/>
      <c r="AB352" s="640"/>
      <c r="AC352" s="1022"/>
      <c r="AD352" s="637"/>
      <c r="AE352" s="139"/>
      <c r="AF352" s="1022"/>
      <c r="AG352" s="640"/>
      <c r="AH352" s="1022"/>
      <c r="AI352" s="637"/>
      <c r="AJ352" s="139"/>
      <c r="AK352" s="1005"/>
      <c r="AL352" s="1061"/>
      <c r="AM352" s="1022"/>
      <c r="AN352" s="637"/>
      <c r="AO352" s="139"/>
      <c r="AP352" s="1005"/>
      <c r="AQ352" s="789"/>
      <c r="AR352" s="789"/>
      <c r="AS352" s="789"/>
    </row>
    <row r="353" spans="1:45" x14ac:dyDescent="0.25">
      <c r="A353" s="261"/>
      <c r="B353" s="510"/>
      <c r="C353" s="510"/>
      <c r="D353" s="510"/>
      <c r="E353" s="510"/>
      <c r="F353" s="692"/>
      <c r="G353" s="510"/>
      <c r="H353" s="511"/>
      <c r="I353" s="511"/>
      <c r="J353" s="511"/>
      <c r="K353" s="511"/>
      <c r="L353" s="514"/>
      <c r="M353" s="671"/>
      <c r="N353" s="671"/>
      <c r="O353" s="671"/>
      <c r="P353" s="261"/>
      <c r="Q353" s="688"/>
      <c r="R353" s="674"/>
      <c r="S353" s="674"/>
      <c r="T353" s="674"/>
      <c r="U353" s="1022"/>
      <c r="V353" s="514"/>
      <c r="W353" s="675"/>
      <c r="X353" s="672"/>
      <c r="Y353" s="706"/>
      <c r="Z353" s="635"/>
      <c r="AA353" s="139"/>
      <c r="AB353" s="640"/>
      <c r="AC353" s="1022"/>
      <c r="AD353" s="637"/>
      <c r="AE353" s="139"/>
      <c r="AF353" s="1022"/>
      <c r="AG353" s="640"/>
      <c r="AH353" s="1022"/>
      <c r="AI353" s="637"/>
      <c r="AJ353" s="139"/>
      <c r="AK353" s="1005"/>
      <c r="AL353" s="1061"/>
      <c r="AM353" s="1022"/>
      <c r="AN353" s="637"/>
      <c r="AO353" s="139"/>
      <c r="AP353" s="1005"/>
      <c r="AQ353" s="789"/>
      <c r="AR353" s="789"/>
      <c r="AS353" s="789"/>
    </row>
    <row r="354" spans="1:45" x14ac:dyDescent="0.25">
      <c r="A354" s="261"/>
      <c r="B354" s="510"/>
      <c r="C354" s="510"/>
      <c r="D354" s="510"/>
      <c r="E354" s="510"/>
      <c r="F354" s="692"/>
      <c r="G354" s="510"/>
      <c r="H354" s="511"/>
      <c r="I354" s="511"/>
      <c r="J354" s="511"/>
      <c r="K354" s="511"/>
      <c r="L354" s="514"/>
      <c r="M354" s="671"/>
      <c r="N354" s="671"/>
      <c r="O354" s="671"/>
      <c r="P354" s="261"/>
      <c r="Q354" s="688"/>
      <c r="R354" s="674"/>
      <c r="S354" s="674"/>
      <c r="T354" s="674"/>
      <c r="U354" s="1022"/>
      <c r="V354" s="514"/>
      <c r="W354" s="675"/>
      <c r="X354" s="672"/>
      <c r="Y354" s="706"/>
      <c r="Z354" s="635"/>
      <c r="AA354" s="139"/>
      <c r="AB354" s="640"/>
      <c r="AC354" s="1022"/>
      <c r="AD354" s="637"/>
      <c r="AE354" s="139"/>
      <c r="AF354" s="1022"/>
      <c r="AG354" s="640"/>
      <c r="AH354" s="1022"/>
      <c r="AI354" s="637"/>
      <c r="AJ354" s="139"/>
      <c r="AK354" s="1005"/>
      <c r="AL354" s="1061"/>
      <c r="AM354" s="1022"/>
      <c r="AN354" s="637"/>
      <c r="AO354" s="139"/>
      <c r="AP354" s="1005"/>
      <c r="AQ354" s="789"/>
      <c r="AR354" s="789"/>
      <c r="AS354" s="789"/>
    </row>
    <row r="355" spans="1:45" x14ac:dyDescent="0.25">
      <c r="A355" s="261"/>
      <c r="B355" s="510"/>
      <c r="C355" s="510"/>
      <c r="D355" s="510"/>
      <c r="E355" s="510"/>
      <c r="F355" s="692"/>
      <c r="G355" s="510"/>
      <c r="H355" s="511"/>
      <c r="I355" s="511"/>
      <c r="J355" s="511"/>
      <c r="K355" s="511"/>
      <c r="L355" s="514"/>
      <c r="M355" s="671"/>
      <c r="N355" s="671"/>
      <c r="O355" s="671"/>
      <c r="P355" s="261"/>
      <c r="Q355" s="688"/>
      <c r="R355" s="674"/>
      <c r="S355" s="674"/>
      <c r="T355" s="674"/>
      <c r="U355" s="1022"/>
      <c r="V355" s="514"/>
      <c r="W355" s="675"/>
      <c r="X355" s="672"/>
      <c r="Y355" s="706"/>
      <c r="Z355" s="635"/>
      <c r="AA355" s="139"/>
      <c r="AB355" s="640"/>
      <c r="AC355" s="1022"/>
      <c r="AD355" s="637"/>
      <c r="AE355" s="139"/>
      <c r="AF355" s="1022"/>
      <c r="AG355" s="640"/>
      <c r="AH355" s="1022"/>
      <c r="AI355" s="637"/>
      <c r="AJ355" s="139"/>
      <c r="AK355" s="1005"/>
      <c r="AL355" s="1061"/>
      <c r="AM355" s="1022"/>
      <c r="AN355" s="637"/>
      <c r="AO355" s="139"/>
      <c r="AP355" s="1005"/>
      <c r="AQ355" s="789"/>
      <c r="AR355" s="789"/>
      <c r="AS355" s="789"/>
    </row>
    <row r="356" spans="1:45" x14ac:dyDescent="0.25">
      <c r="A356" s="261"/>
      <c r="B356" s="510"/>
      <c r="C356" s="510"/>
      <c r="D356" s="510"/>
      <c r="E356" s="510"/>
      <c r="F356" s="692"/>
      <c r="G356" s="510"/>
      <c r="H356" s="511"/>
      <c r="I356" s="511"/>
      <c r="J356" s="511"/>
      <c r="K356" s="511"/>
      <c r="L356" s="514"/>
      <c r="M356" s="671"/>
      <c r="N356" s="671"/>
      <c r="O356" s="671"/>
      <c r="P356" s="261"/>
      <c r="Q356" s="688"/>
      <c r="R356" s="674"/>
      <c r="S356" s="674"/>
      <c r="T356" s="674"/>
      <c r="U356" s="1022"/>
      <c r="V356" s="514"/>
      <c r="W356" s="675"/>
      <c r="X356" s="672"/>
      <c r="Y356" s="706"/>
      <c r="Z356" s="635"/>
      <c r="AA356" s="139"/>
      <c r="AB356" s="640"/>
      <c r="AC356" s="1022"/>
      <c r="AD356" s="637"/>
      <c r="AE356" s="139"/>
      <c r="AF356" s="1022"/>
      <c r="AG356" s="640"/>
      <c r="AH356" s="1022"/>
      <c r="AI356" s="637"/>
      <c r="AJ356" s="139"/>
      <c r="AK356" s="1005"/>
      <c r="AL356" s="1061"/>
      <c r="AM356" s="1022"/>
      <c r="AN356" s="637"/>
      <c r="AO356" s="139"/>
      <c r="AP356" s="1005"/>
      <c r="AQ356" s="789"/>
      <c r="AR356" s="789"/>
      <c r="AS356" s="789"/>
    </row>
    <row r="357" spans="1:45" x14ac:dyDescent="0.25">
      <c r="A357" s="261"/>
      <c r="B357" s="510"/>
      <c r="C357" s="510"/>
      <c r="D357" s="510"/>
      <c r="E357" s="510"/>
      <c r="F357" s="692"/>
      <c r="G357" s="510"/>
      <c r="H357" s="511"/>
      <c r="I357" s="511"/>
      <c r="J357" s="511"/>
      <c r="K357" s="511"/>
      <c r="L357" s="514"/>
      <c r="M357" s="671"/>
      <c r="N357" s="671"/>
      <c r="O357" s="671"/>
      <c r="P357" s="261"/>
      <c r="Q357" s="688"/>
      <c r="R357" s="674"/>
      <c r="S357" s="674"/>
      <c r="T357" s="674"/>
      <c r="U357" s="1022"/>
      <c r="V357" s="514"/>
      <c r="W357" s="675"/>
      <c r="X357" s="672"/>
      <c r="Y357" s="706"/>
      <c r="Z357" s="635"/>
      <c r="AA357" s="139"/>
      <c r="AB357" s="640"/>
      <c r="AC357" s="1022"/>
      <c r="AD357" s="637"/>
      <c r="AE357" s="139"/>
      <c r="AF357" s="1022"/>
      <c r="AG357" s="640"/>
      <c r="AH357" s="1022"/>
      <c r="AI357" s="637"/>
      <c r="AJ357" s="139"/>
      <c r="AK357" s="1005"/>
      <c r="AL357" s="1061"/>
      <c r="AM357" s="1022"/>
      <c r="AN357" s="637"/>
      <c r="AO357" s="139"/>
      <c r="AP357" s="1005"/>
      <c r="AQ357" s="789"/>
      <c r="AR357" s="789"/>
      <c r="AS357" s="789"/>
    </row>
    <row r="358" spans="1:45" x14ac:dyDescent="0.25">
      <c r="A358" s="261"/>
      <c r="B358" s="510"/>
      <c r="C358" s="510"/>
      <c r="D358" s="510"/>
      <c r="E358" s="510"/>
      <c r="F358" s="692"/>
      <c r="G358" s="510"/>
      <c r="H358" s="511"/>
      <c r="I358" s="511"/>
      <c r="J358" s="511"/>
      <c r="K358" s="511"/>
      <c r="L358" s="514"/>
      <c r="M358" s="671"/>
      <c r="N358" s="671"/>
      <c r="O358" s="671"/>
      <c r="P358" s="261"/>
      <c r="Q358" s="688"/>
      <c r="R358" s="674"/>
      <c r="S358" s="674"/>
      <c r="T358" s="674"/>
      <c r="U358" s="1022"/>
      <c r="V358" s="514"/>
      <c r="W358" s="675"/>
      <c r="X358" s="672"/>
      <c r="Y358" s="706"/>
      <c r="Z358" s="635"/>
      <c r="AA358" s="139"/>
      <c r="AB358" s="640"/>
      <c r="AC358" s="1022"/>
      <c r="AD358" s="637"/>
      <c r="AE358" s="139"/>
      <c r="AF358" s="1022"/>
      <c r="AG358" s="640"/>
      <c r="AH358" s="1022"/>
      <c r="AI358" s="637"/>
      <c r="AJ358" s="139"/>
      <c r="AK358" s="1005"/>
      <c r="AL358" s="1061"/>
      <c r="AM358" s="1022"/>
      <c r="AN358" s="637"/>
      <c r="AO358" s="139"/>
      <c r="AP358" s="1005"/>
      <c r="AQ358" s="789"/>
      <c r="AR358" s="789"/>
      <c r="AS358" s="789"/>
    </row>
    <row r="359" spans="1:45" x14ac:dyDescent="0.25">
      <c r="A359" s="261"/>
      <c r="B359" s="510"/>
      <c r="C359" s="510"/>
      <c r="D359" s="510"/>
      <c r="E359" s="510"/>
      <c r="F359" s="692"/>
      <c r="G359" s="670"/>
      <c r="H359" s="261"/>
      <c r="I359" s="261"/>
      <c r="J359" s="261"/>
      <c r="K359" s="261"/>
      <c r="L359" s="261"/>
      <c r="M359" s="261"/>
      <c r="N359" s="261"/>
      <c r="O359" s="261"/>
      <c r="P359" s="261"/>
      <c r="AA359" s="70"/>
      <c r="AN359" s="70"/>
    </row>
    <row r="360" spans="1:45" x14ac:dyDescent="0.25">
      <c r="A360" s="261"/>
      <c r="B360" s="510"/>
      <c r="C360" s="510"/>
      <c r="D360" s="510"/>
      <c r="E360" s="510"/>
      <c r="F360" s="692"/>
      <c r="G360" s="670"/>
      <c r="H360" s="261"/>
      <c r="I360" s="261"/>
      <c r="J360" s="261"/>
      <c r="K360" s="261"/>
      <c r="L360" s="261"/>
      <c r="M360" s="261"/>
      <c r="N360" s="261"/>
      <c r="O360" s="261"/>
      <c r="P360" s="261"/>
      <c r="AA360" s="70"/>
      <c r="AN360" s="70"/>
    </row>
    <row r="361" spans="1:45" x14ac:dyDescent="0.25">
      <c r="A361" s="261"/>
      <c r="B361" s="510"/>
      <c r="C361" s="510"/>
      <c r="D361" s="510"/>
      <c r="E361" s="510"/>
      <c r="F361" s="692"/>
      <c r="G361" s="670"/>
      <c r="H361" s="261"/>
      <c r="I361" s="261"/>
      <c r="J361" s="261"/>
      <c r="K361" s="261"/>
      <c r="L361" s="261"/>
      <c r="M361" s="261"/>
      <c r="N361" s="261"/>
      <c r="O361" s="261"/>
      <c r="P361" s="261"/>
      <c r="AA361" s="70"/>
      <c r="AN361" s="70"/>
    </row>
    <row r="362" spans="1:45" x14ac:dyDescent="0.25">
      <c r="A362" s="261"/>
      <c r="B362" s="510"/>
      <c r="C362" s="510"/>
      <c r="D362" s="510"/>
      <c r="E362" s="510"/>
      <c r="F362" s="692"/>
      <c r="G362" s="670"/>
      <c r="H362" s="261"/>
      <c r="I362" s="261"/>
      <c r="J362" s="261"/>
      <c r="K362" s="261"/>
      <c r="L362" s="261"/>
      <c r="M362" s="261"/>
      <c r="N362" s="261"/>
      <c r="O362" s="261"/>
      <c r="P362" s="261"/>
      <c r="AA362" s="70"/>
      <c r="AN362" s="70"/>
    </row>
    <row r="363" spans="1:45" x14ac:dyDescent="0.25">
      <c r="A363" s="261"/>
      <c r="B363" s="510"/>
      <c r="C363" s="510"/>
      <c r="D363" s="510"/>
      <c r="E363" s="510"/>
      <c r="F363" s="692"/>
      <c r="G363" s="670"/>
      <c r="H363" s="261"/>
      <c r="I363" s="261"/>
      <c r="J363" s="261"/>
      <c r="K363" s="261"/>
      <c r="L363" s="261"/>
      <c r="M363" s="261"/>
      <c r="N363" s="261"/>
      <c r="O363" s="261"/>
      <c r="P363" s="261"/>
      <c r="AA363" s="70"/>
      <c r="AN363" s="70"/>
    </row>
    <row r="364" spans="1:45" x14ac:dyDescent="0.25">
      <c r="A364" s="261"/>
      <c r="B364" s="510"/>
      <c r="C364" s="510"/>
      <c r="D364" s="510"/>
      <c r="E364" s="510"/>
      <c r="F364" s="692"/>
      <c r="G364" s="670"/>
      <c r="H364" s="261"/>
      <c r="I364" s="261"/>
      <c r="J364" s="261"/>
      <c r="K364" s="261"/>
      <c r="L364" s="261"/>
      <c r="M364" s="261"/>
      <c r="N364" s="261"/>
      <c r="O364" s="261"/>
      <c r="P364" s="261"/>
      <c r="AA364" s="70"/>
      <c r="AN364" s="70"/>
    </row>
    <row r="365" spans="1:45" x14ac:dyDescent="0.25">
      <c r="A365" s="261"/>
      <c r="B365" s="510"/>
      <c r="C365" s="510"/>
      <c r="D365" s="510"/>
      <c r="E365" s="510"/>
      <c r="F365" s="692"/>
      <c r="G365" s="670"/>
      <c r="H365" s="261"/>
      <c r="I365" s="261"/>
      <c r="J365" s="261"/>
      <c r="K365" s="261"/>
      <c r="L365" s="261"/>
      <c r="M365" s="261"/>
      <c r="N365" s="261"/>
      <c r="O365" s="261"/>
      <c r="P365" s="261"/>
      <c r="AA365" s="70"/>
      <c r="AN365" s="70"/>
    </row>
    <row r="366" spans="1:45" x14ac:dyDescent="0.25">
      <c r="A366" s="261"/>
      <c r="B366" s="510"/>
      <c r="C366" s="510"/>
      <c r="D366" s="510"/>
      <c r="E366" s="510"/>
      <c r="F366" s="692"/>
      <c r="G366" s="670"/>
      <c r="H366" s="261"/>
      <c r="I366" s="261"/>
      <c r="J366" s="261"/>
      <c r="K366" s="261"/>
      <c r="L366" s="261"/>
      <c r="M366" s="261"/>
      <c r="N366" s="261"/>
      <c r="O366" s="261"/>
      <c r="P366" s="261"/>
      <c r="AA366" s="70"/>
      <c r="AN366" s="70"/>
    </row>
    <row r="367" spans="1:45" x14ac:dyDescent="0.25">
      <c r="A367" s="261"/>
      <c r="B367" s="510"/>
      <c r="C367" s="510"/>
      <c r="D367" s="510"/>
      <c r="E367" s="510"/>
      <c r="F367" s="692"/>
      <c r="G367" s="670"/>
      <c r="H367" s="261"/>
      <c r="I367" s="261"/>
      <c r="J367" s="261"/>
      <c r="K367" s="261"/>
      <c r="L367" s="261"/>
      <c r="M367" s="261"/>
      <c r="N367" s="261"/>
      <c r="O367" s="261"/>
      <c r="P367" s="261"/>
      <c r="AA367" s="70"/>
      <c r="AN367" s="70"/>
    </row>
    <row r="368" spans="1:45" x14ac:dyDescent="0.25">
      <c r="A368" s="261"/>
      <c r="B368" s="510"/>
      <c r="C368" s="510"/>
      <c r="D368" s="510"/>
      <c r="E368" s="510"/>
      <c r="F368" s="692"/>
      <c r="G368" s="670"/>
      <c r="H368" s="261"/>
      <c r="I368" s="261"/>
      <c r="J368" s="261"/>
      <c r="K368" s="261"/>
      <c r="L368" s="261"/>
      <c r="M368" s="261"/>
      <c r="N368" s="261"/>
      <c r="O368" s="261"/>
      <c r="P368" s="261"/>
      <c r="AA368" s="70"/>
      <c r="AN368" s="70"/>
    </row>
    <row r="369" spans="1:40" x14ac:dyDescent="0.25">
      <c r="A369" s="261"/>
      <c r="B369" s="510"/>
      <c r="C369" s="510"/>
      <c r="D369" s="510"/>
      <c r="E369" s="510"/>
      <c r="F369" s="692"/>
      <c r="G369" s="670"/>
      <c r="H369" s="261"/>
      <c r="I369" s="261"/>
      <c r="J369" s="261"/>
      <c r="K369" s="261"/>
      <c r="L369" s="261"/>
      <c r="M369" s="261"/>
      <c r="N369" s="261"/>
      <c r="O369" s="261"/>
      <c r="P369" s="261"/>
      <c r="AA369" s="70"/>
      <c r="AN369" s="70"/>
    </row>
    <row r="370" spans="1:40" x14ac:dyDescent="0.25">
      <c r="A370" s="261"/>
      <c r="B370" s="510"/>
      <c r="C370" s="510"/>
      <c r="D370" s="510"/>
      <c r="E370" s="510"/>
      <c r="F370" s="692"/>
      <c r="G370" s="670"/>
      <c r="H370" s="261"/>
      <c r="I370" s="261"/>
      <c r="J370" s="261"/>
      <c r="K370" s="261"/>
      <c r="L370" s="261"/>
      <c r="M370" s="261"/>
      <c r="N370" s="261"/>
      <c r="O370" s="261"/>
      <c r="P370" s="261"/>
      <c r="AA370" s="70"/>
      <c r="AN370" s="70"/>
    </row>
    <row r="371" spans="1:40" x14ac:dyDescent="0.25">
      <c r="A371" s="261"/>
      <c r="B371" s="510"/>
      <c r="C371" s="510"/>
      <c r="D371" s="510"/>
      <c r="E371" s="510"/>
      <c r="F371" s="692"/>
      <c r="G371" s="670"/>
      <c r="H371" s="261"/>
      <c r="I371" s="261"/>
      <c r="J371" s="261"/>
      <c r="K371" s="261"/>
      <c r="L371" s="261"/>
      <c r="M371" s="261"/>
      <c r="N371" s="261"/>
      <c r="O371" s="261"/>
      <c r="P371" s="261"/>
      <c r="AA371" s="70"/>
      <c r="AN371" s="70"/>
    </row>
    <row r="372" spans="1:40" x14ac:dyDescent="0.25">
      <c r="A372" s="261"/>
      <c r="B372" s="510"/>
      <c r="C372" s="510"/>
      <c r="D372" s="510"/>
      <c r="E372" s="510"/>
      <c r="F372" s="692"/>
      <c r="G372" s="670"/>
      <c r="H372" s="261"/>
      <c r="I372" s="261"/>
      <c r="J372" s="261"/>
      <c r="K372" s="261"/>
      <c r="L372" s="261"/>
      <c r="M372" s="261"/>
      <c r="N372" s="261"/>
      <c r="O372" s="261"/>
      <c r="P372" s="261"/>
      <c r="AA372" s="70"/>
      <c r="AN372" s="70"/>
    </row>
    <row r="373" spans="1:40" x14ac:dyDescent="0.25">
      <c r="A373" s="261"/>
      <c r="B373" s="510"/>
      <c r="C373" s="510"/>
      <c r="D373" s="510"/>
      <c r="E373" s="510"/>
      <c r="F373" s="692"/>
      <c r="G373" s="670"/>
      <c r="H373" s="261"/>
      <c r="I373" s="261"/>
      <c r="J373" s="261"/>
      <c r="K373" s="261"/>
      <c r="L373" s="261"/>
      <c r="M373" s="261"/>
      <c r="N373" s="261"/>
      <c r="O373" s="261"/>
      <c r="P373" s="261"/>
      <c r="AA373" s="70"/>
      <c r="AN373" s="70"/>
    </row>
    <row r="374" spans="1:40" x14ac:dyDescent="0.25">
      <c r="A374" s="261"/>
      <c r="B374" s="510"/>
      <c r="C374" s="510"/>
      <c r="D374" s="510"/>
      <c r="E374" s="510"/>
      <c r="F374" s="692"/>
      <c r="G374" s="670"/>
      <c r="H374" s="261"/>
      <c r="I374" s="261"/>
      <c r="J374" s="261"/>
      <c r="K374" s="261"/>
      <c r="L374" s="261"/>
      <c r="M374" s="261"/>
      <c r="N374" s="261"/>
      <c r="O374" s="261"/>
      <c r="P374" s="261"/>
      <c r="AA374" s="70"/>
      <c r="AN374" s="70"/>
    </row>
    <row r="375" spans="1:40" x14ac:dyDescent="0.25">
      <c r="A375" s="261"/>
      <c r="B375" s="510"/>
      <c r="C375" s="510"/>
      <c r="D375" s="510"/>
      <c r="E375" s="510"/>
      <c r="F375" s="692"/>
      <c r="G375" s="670"/>
      <c r="H375" s="261"/>
      <c r="I375" s="261"/>
      <c r="J375" s="261"/>
      <c r="K375" s="261"/>
      <c r="L375" s="261"/>
      <c r="M375" s="261"/>
      <c r="N375" s="261"/>
      <c r="O375" s="261"/>
      <c r="P375" s="261"/>
      <c r="AA375" s="70"/>
      <c r="AN375" s="70"/>
    </row>
    <row r="376" spans="1:40" x14ac:dyDescent="0.25">
      <c r="A376" s="261"/>
      <c r="B376" s="510"/>
      <c r="C376" s="510"/>
      <c r="D376" s="510"/>
      <c r="E376" s="510"/>
      <c r="F376" s="692"/>
      <c r="G376" s="670"/>
      <c r="H376" s="261"/>
      <c r="I376" s="261"/>
      <c r="J376" s="261"/>
      <c r="K376" s="261"/>
      <c r="L376" s="261"/>
      <c r="M376" s="261"/>
      <c r="N376" s="261"/>
      <c r="O376" s="261"/>
      <c r="P376" s="261"/>
      <c r="AA376" s="70"/>
      <c r="AN376" s="70"/>
    </row>
    <row r="377" spans="1:40" x14ac:dyDescent="0.25">
      <c r="G377" s="679"/>
      <c r="H377" s="70"/>
      <c r="I377" s="70"/>
      <c r="AA377" s="70"/>
      <c r="AN377" s="70"/>
    </row>
    <row r="378" spans="1:40" x14ac:dyDescent="0.25">
      <c r="G378" s="679"/>
      <c r="H378" s="70"/>
      <c r="I378" s="70"/>
      <c r="AA378" s="70"/>
      <c r="AN378" s="70"/>
    </row>
    <row r="379" spans="1:40" x14ac:dyDescent="0.25">
      <c r="G379" s="679"/>
      <c r="H379" s="70"/>
      <c r="I379" s="70"/>
      <c r="AA379" s="70"/>
      <c r="AN379" s="70"/>
    </row>
    <row r="380" spans="1:40" x14ac:dyDescent="0.25">
      <c r="G380" s="679"/>
      <c r="H380" s="70"/>
      <c r="I380" s="70"/>
      <c r="AA380" s="70"/>
      <c r="AN380" s="70"/>
    </row>
    <row r="381" spans="1:40" x14ac:dyDescent="0.25">
      <c r="G381" s="679"/>
      <c r="H381" s="70"/>
      <c r="I381" s="70"/>
      <c r="AA381" s="70"/>
      <c r="AN381" s="70"/>
    </row>
    <row r="382" spans="1:40" x14ac:dyDescent="0.25">
      <c r="G382" s="679"/>
      <c r="H382" s="70"/>
      <c r="I382" s="70"/>
      <c r="AA382" s="70"/>
      <c r="AN382" s="70"/>
    </row>
    <row r="383" spans="1:40" x14ac:dyDescent="0.25">
      <c r="G383" s="679"/>
      <c r="H383" s="70"/>
      <c r="I383" s="70"/>
      <c r="AA383" s="70"/>
      <c r="AN383" s="70"/>
    </row>
    <row r="384" spans="1:40" x14ac:dyDescent="0.25">
      <c r="G384" s="679"/>
      <c r="H384" s="70"/>
      <c r="I384" s="70"/>
      <c r="AA384" s="70"/>
      <c r="AN384" s="70"/>
    </row>
    <row r="385" spans="7:40" x14ac:dyDescent="0.25">
      <c r="G385" s="679"/>
      <c r="H385" s="70"/>
      <c r="I385" s="70"/>
      <c r="AA385" s="70"/>
      <c r="AN385" s="70"/>
    </row>
    <row r="386" spans="7:40" x14ac:dyDescent="0.25">
      <c r="G386" s="679"/>
      <c r="H386" s="70"/>
      <c r="I386" s="70"/>
      <c r="AA386" s="70"/>
      <c r="AN386" s="70"/>
    </row>
    <row r="387" spans="7:40" x14ac:dyDescent="0.25">
      <c r="G387" s="679"/>
      <c r="H387" s="70"/>
      <c r="I387" s="70"/>
      <c r="AA387" s="70"/>
      <c r="AN387" s="70"/>
    </row>
    <row r="388" spans="7:40" x14ac:dyDescent="0.25">
      <c r="G388" s="679"/>
      <c r="H388" s="70"/>
      <c r="I388" s="70"/>
      <c r="AA388" s="70"/>
      <c r="AN388" s="70"/>
    </row>
    <row r="389" spans="7:40" x14ac:dyDescent="0.25">
      <c r="G389" s="679"/>
      <c r="H389" s="70"/>
      <c r="I389" s="70"/>
      <c r="AA389" s="70"/>
      <c r="AN389" s="70"/>
    </row>
    <row r="390" spans="7:40" x14ac:dyDescent="0.25">
      <c r="G390" s="679"/>
      <c r="H390" s="70"/>
      <c r="I390" s="70"/>
      <c r="AA390" s="70"/>
      <c r="AN390" s="70"/>
    </row>
    <row r="391" spans="7:40" x14ac:dyDescent="0.25">
      <c r="G391" s="679"/>
      <c r="H391" s="70"/>
      <c r="I391" s="70"/>
      <c r="AA391" s="70"/>
      <c r="AN391" s="70"/>
    </row>
    <row r="392" spans="7:40" x14ac:dyDescent="0.25">
      <c r="G392" s="679"/>
      <c r="H392" s="70"/>
      <c r="I392" s="70"/>
      <c r="AA392" s="70"/>
      <c r="AN392" s="70"/>
    </row>
    <row r="393" spans="7:40" x14ac:dyDescent="0.25">
      <c r="G393" s="679"/>
      <c r="H393" s="70"/>
      <c r="I393" s="70"/>
      <c r="AA393" s="70"/>
      <c r="AN393" s="70"/>
    </row>
    <row r="394" spans="7:40" x14ac:dyDescent="0.25">
      <c r="G394" s="679"/>
      <c r="H394" s="70"/>
      <c r="I394" s="70"/>
      <c r="AA394" s="70"/>
      <c r="AN394" s="70"/>
    </row>
    <row r="395" spans="7:40" x14ac:dyDescent="0.25">
      <c r="G395" s="679"/>
      <c r="H395" s="70"/>
      <c r="I395" s="70"/>
      <c r="AA395" s="70"/>
      <c r="AN395" s="70"/>
    </row>
    <row r="396" spans="7:40" x14ac:dyDescent="0.25">
      <c r="G396" s="679"/>
      <c r="H396" s="70"/>
      <c r="I396" s="70"/>
      <c r="AA396" s="70"/>
      <c r="AN396" s="70"/>
    </row>
    <row r="397" spans="7:40" x14ac:dyDescent="0.25">
      <c r="G397" s="679"/>
      <c r="H397" s="70"/>
      <c r="I397" s="70"/>
      <c r="AA397" s="70"/>
      <c r="AN397" s="70"/>
    </row>
    <row r="398" spans="7:40" x14ac:dyDescent="0.25">
      <c r="G398" s="679"/>
      <c r="H398" s="70"/>
      <c r="I398" s="70"/>
      <c r="AA398" s="70"/>
      <c r="AN398" s="70"/>
    </row>
    <row r="399" spans="7:40" x14ac:dyDescent="0.25">
      <c r="G399" s="679"/>
      <c r="H399" s="70"/>
      <c r="I399" s="70"/>
      <c r="AA399" s="70"/>
      <c r="AN399" s="70"/>
    </row>
    <row r="400" spans="7:40" x14ac:dyDescent="0.25">
      <c r="G400" s="679"/>
      <c r="H400" s="70"/>
      <c r="I400" s="70"/>
      <c r="AA400" s="70"/>
      <c r="AN400" s="70"/>
    </row>
    <row r="401" spans="7:40" x14ac:dyDescent="0.25">
      <c r="G401" s="679"/>
      <c r="H401" s="70"/>
      <c r="I401" s="70"/>
      <c r="AA401" s="70"/>
      <c r="AN401" s="70"/>
    </row>
    <row r="402" spans="7:40" x14ac:dyDescent="0.25">
      <c r="G402" s="679"/>
      <c r="H402" s="70"/>
      <c r="I402" s="70"/>
      <c r="AA402" s="70"/>
      <c r="AN402" s="70"/>
    </row>
    <row r="403" spans="7:40" x14ac:dyDescent="0.25">
      <c r="G403" s="679"/>
      <c r="H403" s="70"/>
      <c r="I403" s="70"/>
      <c r="AA403" s="70"/>
      <c r="AN403" s="70"/>
    </row>
    <row r="404" spans="7:40" x14ac:dyDescent="0.25">
      <c r="G404" s="679"/>
      <c r="H404" s="70"/>
      <c r="I404" s="70"/>
      <c r="AA404" s="70"/>
      <c r="AN404" s="70"/>
    </row>
    <row r="405" spans="7:40" x14ac:dyDescent="0.25">
      <c r="G405" s="679"/>
      <c r="H405" s="70"/>
      <c r="I405" s="70"/>
      <c r="AA405" s="70"/>
      <c r="AN405" s="70"/>
    </row>
    <row r="406" spans="7:40" x14ac:dyDescent="0.25">
      <c r="G406" s="679"/>
      <c r="H406" s="70"/>
      <c r="I406" s="70"/>
      <c r="AA406" s="70"/>
      <c r="AN406" s="70"/>
    </row>
    <row r="407" spans="7:40" x14ac:dyDescent="0.25">
      <c r="G407" s="679"/>
      <c r="H407" s="70"/>
      <c r="I407" s="70"/>
      <c r="AA407" s="70"/>
      <c r="AN407" s="70"/>
    </row>
    <row r="408" spans="7:40" x14ac:dyDescent="0.25">
      <c r="G408" s="679"/>
      <c r="H408" s="70"/>
      <c r="I408" s="70"/>
      <c r="AA408" s="70"/>
      <c r="AN408" s="70"/>
    </row>
    <row r="409" spans="7:40" x14ac:dyDescent="0.25">
      <c r="G409" s="679"/>
      <c r="H409" s="70"/>
      <c r="I409" s="70"/>
      <c r="AA409" s="70"/>
      <c r="AN409" s="70"/>
    </row>
    <row r="410" spans="7:40" x14ac:dyDescent="0.25">
      <c r="G410" s="679"/>
      <c r="H410" s="70"/>
      <c r="I410" s="70"/>
      <c r="AA410" s="70"/>
      <c r="AN410" s="70"/>
    </row>
    <row r="411" spans="7:40" x14ac:dyDescent="0.25">
      <c r="G411" s="679"/>
      <c r="H411" s="70"/>
      <c r="I411" s="70"/>
      <c r="AA411" s="70"/>
      <c r="AN411" s="70"/>
    </row>
    <row r="412" spans="7:40" x14ac:dyDescent="0.25">
      <c r="G412" s="679"/>
      <c r="H412" s="70"/>
      <c r="I412" s="70"/>
      <c r="AA412" s="70"/>
      <c r="AN412" s="70"/>
    </row>
    <row r="413" spans="7:40" x14ac:dyDescent="0.25">
      <c r="G413" s="679"/>
      <c r="H413" s="70"/>
      <c r="I413" s="70"/>
      <c r="AA413" s="70"/>
      <c r="AN413" s="70"/>
    </row>
    <row r="414" spans="7:40" x14ac:dyDescent="0.25">
      <c r="G414" s="679"/>
      <c r="H414" s="70"/>
      <c r="I414" s="70"/>
      <c r="AA414" s="70"/>
      <c r="AN414" s="70"/>
    </row>
    <row r="415" spans="7:40" x14ac:dyDescent="0.25">
      <c r="G415" s="679"/>
      <c r="H415" s="70"/>
      <c r="I415" s="70"/>
      <c r="AA415" s="70"/>
      <c r="AN415" s="70"/>
    </row>
    <row r="416" spans="7:40" x14ac:dyDescent="0.25">
      <c r="G416" s="679"/>
      <c r="H416" s="70"/>
      <c r="I416" s="70"/>
      <c r="AA416" s="70"/>
      <c r="AN416" s="70"/>
    </row>
    <row r="417" spans="7:40" x14ac:dyDescent="0.25">
      <c r="G417" s="679"/>
      <c r="H417" s="70"/>
      <c r="I417" s="70"/>
      <c r="AA417" s="70"/>
      <c r="AN417" s="70"/>
    </row>
    <row r="418" spans="7:40" x14ac:dyDescent="0.25">
      <c r="G418" s="679"/>
      <c r="H418" s="70"/>
      <c r="I418" s="70"/>
      <c r="AA418" s="70"/>
      <c r="AN418" s="70"/>
    </row>
    <row r="419" spans="7:40" x14ac:dyDescent="0.25">
      <c r="G419" s="679"/>
      <c r="H419" s="70"/>
      <c r="I419" s="70"/>
      <c r="AA419" s="70"/>
      <c r="AN419" s="70"/>
    </row>
    <row r="420" spans="7:40" x14ac:dyDescent="0.25">
      <c r="G420" s="679"/>
      <c r="H420" s="70"/>
      <c r="I420" s="70"/>
      <c r="AA420" s="70"/>
      <c r="AN420" s="70"/>
    </row>
    <row r="421" spans="7:40" x14ac:dyDescent="0.25">
      <c r="G421" s="679"/>
      <c r="H421" s="70"/>
      <c r="I421" s="70"/>
      <c r="AA421" s="70"/>
      <c r="AN421" s="70"/>
    </row>
    <row r="422" spans="7:40" x14ac:dyDescent="0.25">
      <c r="G422" s="679"/>
      <c r="H422" s="70"/>
      <c r="I422" s="70"/>
      <c r="AA422" s="70"/>
      <c r="AN422" s="70"/>
    </row>
    <row r="423" spans="7:40" x14ac:dyDescent="0.25">
      <c r="G423" s="679"/>
      <c r="H423" s="70"/>
      <c r="I423" s="70"/>
      <c r="AA423" s="70"/>
      <c r="AN423" s="70"/>
    </row>
    <row r="424" spans="7:40" x14ac:dyDescent="0.25">
      <c r="G424" s="679"/>
      <c r="H424" s="70"/>
      <c r="I424" s="70"/>
      <c r="AA424" s="70"/>
      <c r="AN424" s="70"/>
    </row>
    <row r="425" spans="7:40" x14ac:dyDescent="0.25">
      <c r="G425" s="679"/>
      <c r="H425" s="70"/>
      <c r="I425" s="70"/>
      <c r="AA425" s="70"/>
      <c r="AN425" s="70"/>
    </row>
    <row r="426" spans="7:40" x14ac:dyDescent="0.25">
      <c r="G426" s="679"/>
      <c r="H426" s="70"/>
      <c r="I426" s="70"/>
      <c r="AA426" s="70"/>
      <c r="AN426" s="70"/>
    </row>
    <row r="427" spans="7:40" x14ac:dyDescent="0.25">
      <c r="G427" s="679"/>
      <c r="H427" s="70"/>
      <c r="I427" s="70"/>
      <c r="AA427" s="70"/>
      <c r="AN427" s="70"/>
    </row>
    <row r="428" spans="7:40" x14ac:dyDescent="0.25">
      <c r="G428" s="679"/>
      <c r="H428" s="70"/>
      <c r="I428" s="70"/>
      <c r="AA428" s="70"/>
      <c r="AN428" s="70"/>
    </row>
    <row r="429" spans="7:40" x14ac:dyDescent="0.25">
      <c r="G429" s="679"/>
      <c r="H429" s="70"/>
      <c r="I429" s="70"/>
      <c r="AA429" s="70"/>
      <c r="AN429" s="70"/>
    </row>
    <row r="430" spans="7:40" x14ac:dyDescent="0.25">
      <c r="G430" s="679"/>
      <c r="H430" s="70"/>
      <c r="I430" s="70"/>
      <c r="AA430" s="70"/>
      <c r="AN430" s="70"/>
    </row>
    <row r="431" spans="7:40" x14ac:dyDescent="0.25">
      <c r="G431" s="679"/>
      <c r="H431" s="70"/>
      <c r="I431" s="70"/>
      <c r="AA431" s="70"/>
      <c r="AN431" s="70"/>
    </row>
    <row r="432" spans="7:40" x14ac:dyDescent="0.25">
      <c r="G432" s="679"/>
      <c r="H432" s="70"/>
      <c r="I432" s="70"/>
      <c r="AA432" s="70"/>
      <c r="AN432" s="70"/>
    </row>
    <row r="433" spans="7:40" x14ac:dyDescent="0.25">
      <c r="G433" s="679"/>
      <c r="H433" s="70"/>
      <c r="I433" s="70"/>
      <c r="AA433" s="70"/>
      <c r="AN433" s="70"/>
    </row>
    <row r="434" spans="7:40" x14ac:dyDescent="0.25">
      <c r="G434" s="679"/>
      <c r="H434" s="70"/>
      <c r="I434" s="70"/>
      <c r="AA434" s="70"/>
      <c r="AN434" s="70"/>
    </row>
    <row r="435" spans="7:40" x14ac:dyDescent="0.25">
      <c r="G435" s="679"/>
      <c r="H435" s="70"/>
      <c r="I435" s="70"/>
      <c r="AA435" s="70"/>
      <c r="AN435" s="70"/>
    </row>
    <row r="436" spans="7:40" x14ac:dyDescent="0.25">
      <c r="G436" s="679"/>
      <c r="H436" s="70"/>
      <c r="I436" s="70"/>
      <c r="AA436" s="70"/>
      <c r="AN436" s="70"/>
    </row>
    <row r="437" spans="7:40" x14ac:dyDescent="0.25">
      <c r="G437" s="679"/>
      <c r="H437" s="70"/>
      <c r="I437" s="70"/>
      <c r="AA437" s="70"/>
      <c r="AN437" s="70"/>
    </row>
    <row r="438" spans="7:40" x14ac:dyDescent="0.25">
      <c r="G438" s="679"/>
      <c r="H438" s="70"/>
      <c r="I438" s="70"/>
      <c r="AA438" s="70"/>
      <c r="AN438" s="70"/>
    </row>
    <row r="439" spans="7:40" x14ac:dyDescent="0.25">
      <c r="G439" s="679"/>
      <c r="H439" s="70"/>
      <c r="I439" s="70"/>
      <c r="AA439" s="70"/>
      <c r="AN439" s="70"/>
    </row>
    <row r="440" spans="7:40" x14ac:dyDescent="0.25">
      <c r="G440" s="679"/>
      <c r="H440" s="70"/>
      <c r="I440" s="70"/>
      <c r="AA440" s="70"/>
      <c r="AN440" s="70"/>
    </row>
    <row r="441" spans="7:40" x14ac:dyDescent="0.25">
      <c r="G441" s="679"/>
      <c r="H441" s="70"/>
      <c r="I441" s="70"/>
      <c r="AA441" s="70"/>
      <c r="AN441" s="70"/>
    </row>
    <row r="442" spans="7:40" x14ac:dyDescent="0.25">
      <c r="G442" s="679"/>
      <c r="H442" s="70"/>
      <c r="I442" s="70"/>
      <c r="AA442" s="70"/>
      <c r="AN442" s="70"/>
    </row>
    <row r="443" spans="7:40" x14ac:dyDescent="0.25">
      <c r="G443" s="679"/>
      <c r="H443" s="70"/>
      <c r="I443" s="70"/>
      <c r="AA443" s="70"/>
      <c r="AN443" s="70"/>
    </row>
    <row r="444" spans="7:40" x14ac:dyDescent="0.25">
      <c r="G444" s="679"/>
      <c r="H444" s="70"/>
      <c r="I444" s="70"/>
      <c r="AA444" s="70"/>
      <c r="AN444" s="70"/>
    </row>
    <row r="445" spans="7:40" x14ac:dyDescent="0.25">
      <c r="G445" s="679"/>
      <c r="H445" s="70"/>
      <c r="I445" s="70"/>
      <c r="AA445" s="70"/>
      <c r="AN445" s="70"/>
    </row>
    <row r="446" spans="7:40" x14ac:dyDescent="0.25">
      <c r="G446" s="679"/>
      <c r="H446" s="70"/>
      <c r="I446" s="70"/>
      <c r="AA446" s="70"/>
      <c r="AN446" s="70"/>
    </row>
    <row r="447" spans="7:40" x14ac:dyDescent="0.25">
      <c r="G447" s="679"/>
      <c r="H447" s="70"/>
      <c r="I447" s="70"/>
      <c r="AA447" s="70"/>
      <c r="AN447" s="70"/>
    </row>
    <row r="448" spans="7:40" x14ac:dyDescent="0.25">
      <c r="G448" s="679"/>
      <c r="H448" s="70"/>
      <c r="I448" s="70"/>
      <c r="AA448" s="70"/>
      <c r="AN448" s="70"/>
    </row>
    <row r="449" spans="7:40" x14ac:dyDescent="0.25">
      <c r="G449" s="679"/>
      <c r="H449" s="70"/>
      <c r="I449" s="70"/>
      <c r="AA449" s="70"/>
      <c r="AN449" s="70"/>
    </row>
    <row r="450" spans="7:40" x14ac:dyDescent="0.25">
      <c r="G450" s="679"/>
      <c r="H450" s="70"/>
      <c r="I450" s="70"/>
      <c r="AA450" s="70"/>
      <c r="AN450" s="70"/>
    </row>
    <row r="451" spans="7:40" x14ac:dyDescent="0.25">
      <c r="G451" s="679"/>
      <c r="H451" s="70"/>
      <c r="I451" s="70"/>
      <c r="AA451" s="70"/>
      <c r="AN451" s="70"/>
    </row>
    <row r="452" spans="7:40" x14ac:dyDescent="0.25">
      <c r="G452" s="679"/>
      <c r="H452" s="70"/>
      <c r="I452" s="70"/>
      <c r="AA452" s="70"/>
      <c r="AN452" s="70"/>
    </row>
    <row r="453" spans="7:40" x14ac:dyDescent="0.25">
      <c r="G453" s="679"/>
      <c r="H453" s="70"/>
      <c r="I453" s="70"/>
      <c r="AA453" s="70"/>
      <c r="AN453" s="70"/>
    </row>
    <row r="454" spans="7:40" x14ac:dyDescent="0.25">
      <c r="G454" s="679"/>
      <c r="H454" s="70"/>
      <c r="I454" s="70"/>
      <c r="AA454" s="70"/>
      <c r="AN454" s="70"/>
    </row>
    <row r="455" spans="7:40" x14ac:dyDescent="0.25">
      <c r="G455" s="679"/>
      <c r="H455" s="70"/>
      <c r="I455" s="70"/>
      <c r="AA455" s="70"/>
      <c r="AN455" s="70"/>
    </row>
    <row r="456" spans="7:40" x14ac:dyDescent="0.25">
      <c r="G456" s="679"/>
      <c r="H456" s="70"/>
      <c r="I456" s="70"/>
      <c r="AA456" s="70"/>
      <c r="AN456" s="70"/>
    </row>
    <row r="457" spans="7:40" x14ac:dyDescent="0.25">
      <c r="G457" s="679"/>
      <c r="H457" s="70"/>
      <c r="I457" s="70"/>
      <c r="AA457" s="70"/>
      <c r="AN457" s="70"/>
    </row>
    <row r="458" spans="7:40" x14ac:dyDescent="0.25">
      <c r="G458" s="679"/>
      <c r="H458" s="70"/>
      <c r="I458" s="70"/>
      <c r="AA458" s="70"/>
      <c r="AN458" s="70"/>
    </row>
    <row r="459" spans="7:40" x14ac:dyDescent="0.25">
      <c r="G459" s="679"/>
      <c r="H459" s="70"/>
      <c r="I459" s="70"/>
      <c r="AA459" s="70"/>
      <c r="AN459" s="70"/>
    </row>
    <row r="460" spans="7:40" x14ac:dyDescent="0.25">
      <c r="G460" s="679"/>
      <c r="H460" s="70"/>
      <c r="I460" s="70"/>
      <c r="AA460" s="70"/>
      <c r="AN460" s="70"/>
    </row>
    <row r="461" spans="7:40" x14ac:dyDescent="0.25">
      <c r="G461" s="679"/>
      <c r="H461" s="70"/>
      <c r="I461" s="70"/>
      <c r="AA461" s="70"/>
      <c r="AN461" s="70"/>
    </row>
    <row r="462" spans="7:40" x14ac:dyDescent="0.25">
      <c r="G462" s="679"/>
      <c r="H462" s="70"/>
      <c r="I462" s="70"/>
      <c r="AA462" s="70"/>
      <c r="AN462" s="70"/>
    </row>
    <row r="463" spans="7:40" x14ac:dyDescent="0.25">
      <c r="G463" s="679"/>
      <c r="H463" s="70"/>
      <c r="I463" s="70"/>
      <c r="AA463" s="70"/>
      <c r="AN463" s="70"/>
    </row>
    <row r="464" spans="7:40" x14ac:dyDescent="0.25">
      <c r="G464" s="679"/>
      <c r="H464" s="70"/>
      <c r="I464" s="70"/>
      <c r="AA464" s="70"/>
      <c r="AN464" s="70"/>
    </row>
    <row r="465" spans="5:40" x14ac:dyDescent="0.25">
      <c r="G465" s="679"/>
      <c r="H465" s="70"/>
      <c r="I465" s="70"/>
      <c r="AA465" s="70"/>
      <c r="AN465" s="70"/>
    </row>
    <row r="466" spans="5:40" x14ac:dyDescent="0.25">
      <c r="G466" s="679"/>
      <c r="H466" s="70"/>
      <c r="I466" s="70"/>
      <c r="AA466" s="70"/>
      <c r="AN466" s="70"/>
    </row>
    <row r="467" spans="5:40" x14ac:dyDescent="0.25">
      <c r="AA467" s="70"/>
      <c r="AN467" s="70"/>
    </row>
    <row r="468" spans="5:40" x14ac:dyDescent="0.25">
      <c r="AA468" s="70"/>
      <c r="AN468" s="70"/>
    </row>
    <row r="469" spans="5:40" x14ac:dyDescent="0.25">
      <c r="AA469" s="70"/>
      <c r="AN469" s="70"/>
    </row>
    <row r="470" spans="5:40" x14ac:dyDescent="0.25">
      <c r="AA470" s="70"/>
      <c r="AN470" s="70"/>
    </row>
    <row r="471" spans="5:40" x14ac:dyDescent="0.25">
      <c r="E471" s="717"/>
      <c r="F471" s="718"/>
      <c r="AA471" s="70"/>
      <c r="AN471" s="70"/>
    </row>
    <row r="472" spans="5:40" x14ac:dyDescent="0.25">
      <c r="E472" s="719"/>
      <c r="F472" s="718"/>
      <c r="AA472" s="70"/>
      <c r="AN472" s="70"/>
    </row>
    <row r="473" spans="5:40" x14ac:dyDescent="0.25">
      <c r="AA473" s="70"/>
      <c r="AN473" s="70"/>
    </row>
    <row r="474" spans="5:40" x14ac:dyDescent="0.25">
      <c r="E474" s="717"/>
      <c r="F474" s="718"/>
      <c r="AA474" s="70"/>
      <c r="AN474" s="70"/>
    </row>
    <row r="475" spans="5:40" x14ac:dyDescent="0.25">
      <c r="E475" s="719"/>
      <c r="F475" s="718"/>
      <c r="AA475" s="70"/>
      <c r="AN475" s="70"/>
    </row>
    <row r="476" spans="5:40" x14ac:dyDescent="0.25">
      <c r="AA476" s="70"/>
      <c r="AN476" s="70"/>
    </row>
    <row r="477" spans="5:40" x14ac:dyDescent="0.25">
      <c r="AA477" s="70"/>
      <c r="AN477" s="70"/>
    </row>
    <row r="478" spans="5:40" x14ac:dyDescent="0.25">
      <c r="AA478" s="70"/>
      <c r="AN478" s="70"/>
    </row>
    <row r="479" spans="5:40" x14ac:dyDescent="0.25">
      <c r="AA479" s="70"/>
      <c r="AN479" s="70"/>
    </row>
    <row r="480" spans="5:40" x14ac:dyDescent="0.25">
      <c r="AA480" s="70"/>
      <c r="AN480" s="70"/>
    </row>
    <row r="481" spans="27:40" x14ac:dyDescent="0.25">
      <c r="AA481" s="70"/>
      <c r="AN481" s="70"/>
    </row>
    <row r="482" spans="27:40" x14ac:dyDescent="0.25">
      <c r="AA482" s="70"/>
      <c r="AN482" s="70"/>
    </row>
    <row r="483" spans="27:40" x14ac:dyDescent="0.25">
      <c r="AA483" s="70"/>
      <c r="AN483" s="70"/>
    </row>
    <row r="484" spans="27:40" x14ac:dyDescent="0.25">
      <c r="AA484" s="70"/>
      <c r="AN484" s="70"/>
    </row>
    <row r="485" spans="27:40" x14ac:dyDescent="0.25">
      <c r="AA485" s="70"/>
      <c r="AN485" s="70"/>
    </row>
    <row r="486" spans="27:40" x14ac:dyDescent="0.25">
      <c r="AA486" s="70"/>
      <c r="AN486" s="70"/>
    </row>
    <row r="487" spans="27:40" x14ac:dyDescent="0.25">
      <c r="AA487" s="70"/>
      <c r="AN487" s="70"/>
    </row>
    <row r="488" spans="27:40" x14ac:dyDescent="0.25">
      <c r="AA488" s="70"/>
      <c r="AN488" s="70"/>
    </row>
    <row r="489" spans="27:40" x14ac:dyDescent="0.25">
      <c r="AA489" s="70"/>
      <c r="AN489" s="70"/>
    </row>
    <row r="490" spans="27:40" x14ac:dyDescent="0.25">
      <c r="AA490" s="70"/>
      <c r="AN490" s="70"/>
    </row>
    <row r="491" spans="27:40" x14ac:dyDescent="0.25">
      <c r="AA491" s="70"/>
      <c r="AN491" s="70"/>
    </row>
    <row r="492" spans="27:40" x14ac:dyDescent="0.25">
      <c r="AA492" s="70"/>
      <c r="AN492" s="70"/>
    </row>
    <row r="493" spans="27:40" x14ac:dyDescent="0.25">
      <c r="AA493" s="70"/>
      <c r="AN493" s="70"/>
    </row>
    <row r="494" spans="27:40" x14ac:dyDescent="0.25">
      <c r="AA494" s="70"/>
      <c r="AN494" s="70"/>
    </row>
    <row r="495" spans="27:40" x14ac:dyDescent="0.25">
      <c r="AA495" s="70"/>
      <c r="AN495" s="70"/>
    </row>
    <row r="496" spans="27:40" x14ac:dyDescent="0.25">
      <c r="AA496" s="70"/>
      <c r="AN496" s="70"/>
    </row>
    <row r="497" spans="27:40" x14ac:dyDescent="0.25">
      <c r="AA497" s="70"/>
      <c r="AN497" s="70"/>
    </row>
    <row r="498" spans="27:40" x14ac:dyDescent="0.25">
      <c r="AA498" s="70"/>
      <c r="AN498" s="70"/>
    </row>
    <row r="499" spans="27:40" x14ac:dyDescent="0.25">
      <c r="AA499" s="70"/>
      <c r="AN499" s="70"/>
    </row>
    <row r="500" spans="27:40" x14ac:dyDescent="0.25">
      <c r="AA500" s="70"/>
      <c r="AN500" s="70"/>
    </row>
    <row r="501" spans="27:40" x14ac:dyDescent="0.25">
      <c r="AA501" s="70"/>
      <c r="AN501" s="70"/>
    </row>
    <row r="502" spans="27:40" x14ac:dyDescent="0.25">
      <c r="AA502" s="70"/>
      <c r="AN502" s="70"/>
    </row>
    <row r="503" spans="27:40" x14ac:dyDescent="0.25">
      <c r="AA503" s="70"/>
      <c r="AN503" s="70"/>
    </row>
    <row r="504" spans="27:40" x14ac:dyDescent="0.25">
      <c r="AA504" s="70"/>
      <c r="AN504" s="70"/>
    </row>
    <row r="505" spans="27:40" x14ac:dyDescent="0.25">
      <c r="AA505" s="70"/>
      <c r="AN505" s="70"/>
    </row>
    <row r="506" spans="27:40" x14ac:dyDescent="0.25">
      <c r="AA506" s="70"/>
      <c r="AN506" s="70"/>
    </row>
    <row r="507" spans="27:40" x14ac:dyDescent="0.25">
      <c r="AA507" s="70"/>
      <c r="AN507" s="70"/>
    </row>
    <row r="508" spans="27:40" x14ac:dyDescent="0.25">
      <c r="AA508" s="70"/>
      <c r="AN508" s="70"/>
    </row>
    <row r="509" spans="27:40" x14ac:dyDescent="0.25">
      <c r="AA509" s="70"/>
      <c r="AN509" s="70"/>
    </row>
    <row r="510" spans="27:40" x14ac:dyDescent="0.25">
      <c r="AA510" s="70"/>
      <c r="AN510" s="70"/>
    </row>
    <row r="511" spans="27:40" x14ac:dyDescent="0.25">
      <c r="AA511" s="70"/>
      <c r="AN511" s="70"/>
    </row>
    <row r="512" spans="27:40" x14ac:dyDescent="0.25">
      <c r="AA512" s="70"/>
      <c r="AN512" s="70"/>
    </row>
    <row r="513" spans="27:40" x14ac:dyDescent="0.25">
      <c r="AA513" s="70"/>
      <c r="AN513" s="70"/>
    </row>
    <row r="514" spans="27:40" x14ac:dyDescent="0.25">
      <c r="AA514" s="70"/>
      <c r="AN514" s="70"/>
    </row>
    <row r="515" spans="27:40" x14ac:dyDescent="0.25">
      <c r="AA515" s="70"/>
      <c r="AN515" s="70"/>
    </row>
    <row r="516" spans="27:40" x14ac:dyDescent="0.25">
      <c r="AA516" s="70"/>
      <c r="AN516" s="70"/>
    </row>
    <row r="517" spans="27:40" x14ac:dyDescent="0.25">
      <c r="AA517" s="70"/>
      <c r="AN517" s="70"/>
    </row>
    <row r="518" spans="27:40" x14ac:dyDescent="0.25">
      <c r="AA518" s="70"/>
      <c r="AN518" s="70"/>
    </row>
    <row r="519" spans="27:40" x14ac:dyDescent="0.25">
      <c r="AA519" s="70"/>
      <c r="AN519" s="70"/>
    </row>
    <row r="520" spans="27:40" x14ac:dyDescent="0.25">
      <c r="AA520" s="70"/>
      <c r="AN520" s="70"/>
    </row>
    <row r="521" spans="27:40" x14ac:dyDescent="0.25">
      <c r="AA521" s="70"/>
      <c r="AN521" s="70"/>
    </row>
    <row r="522" spans="27:40" x14ac:dyDescent="0.25">
      <c r="AA522" s="70"/>
      <c r="AN522" s="70"/>
    </row>
    <row r="523" spans="27:40" x14ac:dyDescent="0.25">
      <c r="AA523" s="70"/>
      <c r="AN523" s="70"/>
    </row>
    <row r="524" spans="27:40" x14ac:dyDescent="0.25">
      <c r="AA524" s="70"/>
      <c r="AN524" s="70"/>
    </row>
    <row r="525" spans="27:40" x14ac:dyDescent="0.25">
      <c r="AA525" s="70"/>
      <c r="AN525" s="70"/>
    </row>
    <row r="526" spans="27:40" x14ac:dyDescent="0.25">
      <c r="AA526" s="70"/>
      <c r="AN526" s="70"/>
    </row>
    <row r="527" spans="27:40" x14ac:dyDescent="0.25">
      <c r="AA527" s="70"/>
      <c r="AN527" s="70"/>
    </row>
    <row r="528" spans="27:40" x14ac:dyDescent="0.25">
      <c r="AA528" s="70"/>
      <c r="AN528" s="70"/>
    </row>
    <row r="529" spans="27:40" x14ac:dyDescent="0.25">
      <c r="AA529" s="70"/>
      <c r="AN529" s="70"/>
    </row>
    <row r="530" spans="27:40" x14ac:dyDescent="0.25">
      <c r="AA530" s="70"/>
      <c r="AN530" s="70"/>
    </row>
    <row r="531" spans="27:40" x14ac:dyDescent="0.25">
      <c r="AA531" s="70"/>
      <c r="AN531" s="70"/>
    </row>
    <row r="532" spans="27:40" x14ac:dyDescent="0.25">
      <c r="AA532" s="70"/>
      <c r="AN532" s="70"/>
    </row>
    <row r="533" spans="27:40" x14ac:dyDescent="0.25">
      <c r="AA533" s="70"/>
      <c r="AN533" s="70"/>
    </row>
    <row r="534" spans="27:40" x14ac:dyDescent="0.25">
      <c r="AA534" s="70"/>
      <c r="AN534" s="70"/>
    </row>
    <row r="535" spans="27:40" x14ac:dyDescent="0.25">
      <c r="AA535" s="70"/>
      <c r="AN535" s="70"/>
    </row>
    <row r="536" spans="27:40" x14ac:dyDescent="0.25">
      <c r="AA536" s="70"/>
      <c r="AN536" s="70"/>
    </row>
    <row r="537" spans="27:40" x14ac:dyDescent="0.25">
      <c r="AA537" s="70"/>
      <c r="AN537" s="70"/>
    </row>
    <row r="538" spans="27:40" x14ac:dyDescent="0.25">
      <c r="AA538" s="70"/>
      <c r="AN538" s="70"/>
    </row>
    <row r="539" spans="27:40" x14ac:dyDescent="0.25">
      <c r="AA539" s="70"/>
      <c r="AN539" s="70"/>
    </row>
    <row r="540" spans="27:40" x14ac:dyDescent="0.25">
      <c r="AA540" s="70"/>
      <c r="AN540" s="70"/>
    </row>
    <row r="541" spans="27:40" x14ac:dyDescent="0.25">
      <c r="AA541" s="70"/>
      <c r="AN541" s="70"/>
    </row>
    <row r="542" spans="27:40" x14ac:dyDescent="0.25">
      <c r="AA542" s="70"/>
      <c r="AN542" s="70"/>
    </row>
    <row r="543" spans="27:40" x14ac:dyDescent="0.25">
      <c r="AA543" s="70"/>
      <c r="AN543" s="70"/>
    </row>
    <row r="544" spans="27:40" x14ac:dyDescent="0.25">
      <c r="AA544" s="70"/>
      <c r="AN544" s="70"/>
    </row>
    <row r="545" spans="27:40" x14ac:dyDescent="0.25">
      <c r="AA545" s="70"/>
      <c r="AN545" s="70"/>
    </row>
    <row r="546" spans="27:40" x14ac:dyDescent="0.25">
      <c r="AA546" s="70"/>
      <c r="AN546" s="70"/>
    </row>
    <row r="547" spans="27:40" x14ac:dyDescent="0.25">
      <c r="AA547" s="70"/>
      <c r="AN547" s="70"/>
    </row>
    <row r="548" spans="27:40" x14ac:dyDescent="0.25">
      <c r="AA548" s="70"/>
      <c r="AN548" s="70"/>
    </row>
    <row r="549" spans="27:40" x14ac:dyDescent="0.25">
      <c r="AA549" s="70"/>
      <c r="AN549" s="70"/>
    </row>
    <row r="550" spans="27:40" x14ac:dyDescent="0.25">
      <c r="AA550" s="70"/>
      <c r="AN550" s="70"/>
    </row>
    <row r="551" spans="27:40" x14ac:dyDescent="0.25">
      <c r="AA551" s="70"/>
      <c r="AN551" s="70"/>
    </row>
    <row r="552" spans="27:40" x14ac:dyDescent="0.25">
      <c r="AA552" s="70"/>
      <c r="AN552" s="70"/>
    </row>
    <row r="553" spans="27:40" x14ac:dyDescent="0.25">
      <c r="AA553" s="70"/>
      <c r="AN553" s="70"/>
    </row>
    <row r="554" spans="27:40" x14ac:dyDescent="0.25">
      <c r="AA554" s="70"/>
      <c r="AN554" s="70"/>
    </row>
    <row r="555" spans="27:40" x14ac:dyDescent="0.25">
      <c r="AA555" s="70"/>
      <c r="AN555" s="70"/>
    </row>
    <row r="556" spans="27:40" x14ac:dyDescent="0.25">
      <c r="AA556" s="70"/>
      <c r="AN556" s="70"/>
    </row>
    <row r="557" spans="27:40" x14ac:dyDescent="0.25">
      <c r="AA557" s="70"/>
      <c r="AN557" s="70"/>
    </row>
    <row r="558" spans="27:40" x14ac:dyDescent="0.25">
      <c r="AA558" s="70"/>
      <c r="AN558" s="70"/>
    </row>
    <row r="559" spans="27:40" x14ac:dyDescent="0.25">
      <c r="AA559" s="70"/>
      <c r="AN559" s="70"/>
    </row>
    <row r="560" spans="27:40" x14ac:dyDescent="0.25">
      <c r="AA560" s="70"/>
      <c r="AN560" s="70"/>
    </row>
    <row r="561" spans="27:40" x14ac:dyDescent="0.25">
      <c r="AA561" s="70"/>
      <c r="AN561" s="70"/>
    </row>
    <row r="562" spans="27:40" x14ac:dyDescent="0.25">
      <c r="AA562" s="70"/>
      <c r="AN562" s="70"/>
    </row>
    <row r="563" spans="27:40" x14ac:dyDescent="0.25">
      <c r="AA563" s="70"/>
      <c r="AN563" s="70"/>
    </row>
    <row r="564" spans="27:40" x14ac:dyDescent="0.25">
      <c r="AA564" s="70"/>
      <c r="AN564" s="70"/>
    </row>
    <row r="565" spans="27:40" x14ac:dyDescent="0.25">
      <c r="AA565" s="70"/>
      <c r="AN565" s="70"/>
    </row>
    <row r="566" spans="27:40" x14ac:dyDescent="0.25">
      <c r="AA566" s="70"/>
      <c r="AN566" s="70"/>
    </row>
    <row r="567" spans="27:40" x14ac:dyDescent="0.25">
      <c r="AA567" s="70"/>
      <c r="AN567" s="70"/>
    </row>
    <row r="568" spans="27:40" x14ac:dyDescent="0.25">
      <c r="AA568" s="70"/>
      <c r="AN568" s="70"/>
    </row>
    <row r="569" spans="27:40" x14ac:dyDescent="0.25">
      <c r="AA569" s="70"/>
      <c r="AN569" s="70"/>
    </row>
    <row r="570" spans="27:40" x14ac:dyDescent="0.25">
      <c r="AA570" s="70"/>
      <c r="AN570" s="70"/>
    </row>
    <row r="571" spans="27:40" x14ac:dyDescent="0.25">
      <c r="AA571" s="70"/>
      <c r="AN571" s="70"/>
    </row>
    <row r="572" spans="27:40" x14ac:dyDescent="0.25">
      <c r="AA572" s="70"/>
      <c r="AN572" s="70"/>
    </row>
    <row r="573" spans="27:40" x14ac:dyDescent="0.25">
      <c r="AA573" s="70"/>
      <c r="AN573" s="70"/>
    </row>
    <row r="574" spans="27:40" x14ac:dyDescent="0.25">
      <c r="AA574" s="70"/>
      <c r="AN574" s="70"/>
    </row>
    <row r="575" spans="27:40" x14ac:dyDescent="0.25">
      <c r="AA575" s="70"/>
      <c r="AN575" s="70"/>
    </row>
    <row r="576" spans="27:40" x14ac:dyDescent="0.25">
      <c r="AA576" s="70"/>
      <c r="AN576" s="70"/>
    </row>
    <row r="577" spans="27:40" x14ac:dyDescent="0.25">
      <c r="AA577" s="70"/>
      <c r="AN577" s="70"/>
    </row>
    <row r="578" spans="27:40" x14ac:dyDescent="0.25">
      <c r="AA578" s="70"/>
      <c r="AN578" s="70"/>
    </row>
    <row r="579" spans="27:40" x14ac:dyDescent="0.25">
      <c r="AA579" s="70"/>
      <c r="AN579" s="70"/>
    </row>
    <row r="580" spans="27:40" x14ac:dyDescent="0.25">
      <c r="AA580" s="70"/>
      <c r="AN580" s="70"/>
    </row>
    <row r="581" spans="27:40" x14ac:dyDescent="0.25">
      <c r="AA581" s="70"/>
      <c r="AN581" s="70"/>
    </row>
    <row r="582" spans="27:40" x14ac:dyDescent="0.25">
      <c r="AA582" s="70"/>
      <c r="AN582" s="70"/>
    </row>
    <row r="583" spans="27:40" x14ac:dyDescent="0.25">
      <c r="AA583" s="70"/>
      <c r="AN583" s="70"/>
    </row>
    <row r="584" spans="27:40" x14ac:dyDescent="0.25">
      <c r="AA584" s="70"/>
      <c r="AN584" s="70"/>
    </row>
    <row r="585" spans="27:40" x14ac:dyDescent="0.25">
      <c r="AA585" s="70"/>
      <c r="AN585" s="70"/>
    </row>
    <row r="586" spans="27:40" x14ac:dyDescent="0.25">
      <c r="AA586" s="70"/>
      <c r="AN586" s="70"/>
    </row>
    <row r="587" spans="27:40" x14ac:dyDescent="0.25">
      <c r="AA587" s="70"/>
      <c r="AN587" s="70"/>
    </row>
    <row r="588" spans="27:40" x14ac:dyDescent="0.25">
      <c r="AA588" s="70"/>
      <c r="AN588" s="70"/>
    </row>
    <row r="589" spans="27:40" x14ac:dyDescent="0.25">
      <c r="AA589" s="70"/>
      <c r="AN589" s="70"/>
    </row>
    <row r="590" spans="27:40" x14ac:dyDescent="0.25">
      <c r="AA590" s="70"/>
      <c r="AN590" s="70"/>
    </row>
    <row r="591" spans="27:40" x14ac:dyDescent="0.25">
      <c r="AA591" s="70"/>
      <c r="AN591" s="70"/>
    </row>
    <row r="592" spans="27:40" x14ac:dyDescent="0.25">
      <c r="AA592" s="70"/>
      <c r="AN592" s="70"/>
    </row>
    <row r="593" spans="27:40" x14ac:dyDescent="0.25">
      <c r="AA593" s="70"/>
      <c r="AN593" s="70"/>
    </row>
    <row r="594" spans="27:40" x14ac:dyDescent="0.25">
      <c r="AA594" s="70"/>
      <c r="AN594" s="70"/>
    </row>
    <row r="595" spans="27:40" x14ac:dyDescent="0.25">
      <c r="AA595" s="70"/>
      <c r="AN595" s="70"/>
    </row>
    <row r="596" spans="27:40" x14ac:dyDescent="0.25">
      <c r="AA596" s="70"/>
      <c r="AN596" s="70"/>
    </row>
    <row r="597" spans="27:40" x14ac:dyDescent="0.25">
      <c r="AA597" s="70"/>
      <c r="AN597" s="70"/>
    </row>
    <row r="598" spans="27:40" x14ac:dyDescent="0.25">
      <c r="AA598" s="70"/>
      <c r="AN598" s="70"/>
    </row>
    <row r="599" spans="27:40" x14ac:dyDescent="0.25">
      <c r="AA599" s="70"/>
      <c r="AN599" s="70"/>
    </row>
    <row r="600" spans="27:40" x14ac:dyDescent="0.25">
      <c r="AA600" s="70"/>
      <c r="AN600" s="70"/>
    </row>
    <row r="601" spans="27:40" x14ac:dyDescent="0.25">
      <c r="AA601" s="70"/>
      <c r="AN601" s="70"/>
    </row>
    <row r="602" spans="27:40" x14ac:dyDescent="0.25">
      <c r="AA602" s="70"/>
      <c r="AN602" s="70"/>
    </row>
    <row r="603" spans="27:40" x14ac:dyDescent="0.25">
      <c r="AA603" s="70"/>
      <c r="AN603" s="70"/>
    </row>
    <row r="604" spans="27:40" x14ac:dyDescent="0.25">
      <c r="AA604" s="70"/>
      <c r="AN604" s="70"/>
    </row>
    <row r="605" spans="27:40" x14ac:dyDescent="0.25">
      <c r="AA605" s="70"/>
      <c r="AN605" s="70"/>
    </row>
    <row r="606" spans="27:40" x14ac:dyDescent="0.25">
      <c r="AA606" s="70"/>
      <c r="AN606" s="70"/>
    </row>
    <row r="607" spans="27:40" x14ac:dyDescent="0.25">
      <c r="AA607" s="70"/>
      <c r="AN607" s="70"/>
    </row>
    <row r="608" spans="27:40" x14ac:dyDescent="0.25">
      <c r="AA608" s="70"/>
      <c r="AN608" s="70"/>
    </row>
    <row r="609" spans="27:40" x14ac:dyDescent="0.25">
      <c r="AA609" s="70"/>
      <c r="AN609" s="70"/>
    </row>
    <row r="610" spans="27:40" x14ac:dyDescent="0.25">
      <c r="AA610" s="70"/>
      <c r="AN610" s="70"/>
    </row>
    <row r="611" spans="27:40" x14ac:dyDescent="0.25">
      <c r="AA611" s="70"/>
      <c r="AN611" s="70"/>
    </row>
    <row r="612" spans="27:40" x14ac:dyDescent="0.25">
      <c r="AA612" s="70"/>
      <c r="AN612" s="70"/>
    </row>
    <row r="613" spans="27:40" x14ac:dyDescent="0.25">
      <c r="AA613" s="70"/>
      <c r="AN613" s="70"/>
    </row>
    <row r="614" spans="27:40" x14ac:dyDescent="0.25">
      <c r="AA614" s="70"/>
      <c r="AN614" s="70"/>
    </row>
    <row r="615" spans="27:40" x14ac:dyDescent="0.25">
      <c r="AA615" s="70"/>
      <c r="AN615" s="70"/>
    </row>
    <row r="616" spans="27:40" x14ac:dyDescent="0.25">
      <c r="AA616" s="70"/>
      <c r="AN616" s="70"/>
    </row>
    <row r="617" spans="27:40" x14ac:dyDescent="0.25">
      <c r="AA617" s="70"/>
      <c r="AN617" s="70"/>
    </row>
    <row r="618" spans="27:40" x14ac:dyDescent="0.25">
      <c r="AA618" s="70"/>
      <c r="AN618" s="70"/>
    </row>
    <row r="619" spans="27:40" x14ac:dyDescent="0.25">
      <c r="AA619" s="70"/>
      <c r="AN619" s="70"/>
    </row>
    <row r="620" spans="27:40" x14ac:dyDescent="0.25">
      <c r="AA620" s="70"/>
      <c r="AN620" s="70"/>
    </row>
    <row r="621" spans="27:40" x14ac:dyDescent="0.25">
      <c r="AA621" s="70"/>
      <c r="AN621" s="70"/>
    </row>
    <row r="622" spans="27:40" x14ac:dyDescent="0.25">
      <c r="AA622" s="70"/>
      <c r="AN622" s="70"/>
    </row>
    <row r="623" spans="27:40" x14ac:dyDescent="0.25">
      <c r="AA623" s="70"/>
      <c r="AN623" s="70"/>
    </row>
    <row r="624" spans="27:40" x14ac:dyDescent="0.25">
      <c r="AA624" s="70"/>
      <c r="AN624" s="70"/>
    </row>
    <row r="625" spans="27:40" x14ac:dyDescent="0.25">
      <c r="AA625" s="70"/>
      <c r="AN625" s="70"/>
    </row>
    <row r="626" spans="27:40" x14ac:dyDescent="0.25">
      <c r="AA626" s="70"/>
      <c r="AN626" s="70"/>
    </row>
    <row r="627" spans="27:40" x14ac:dyDescent="0.25">
      <c r="AA627" s="70"/>
      <c r="AN627" s="70"/>
    </row>
    <row r="628" spans="27:40" x14ac:dyDescent="0.25">
      <c r="AA628" s="70"/>
      <c r="AN628" s="70"/>
    </row>
    <row r="629" spans="27:40" x14ac:dyDescent="0.25">
      <c r="AA629" s="70"/>
      <c r="AN629" s="70"/>
    </row>
    <row r="630" spans="27:40" x14ac:dyDescent="0.25">
      <c r="AA630" s="70"/>
      <c r="AN630" s="70"/>
    </row>
    <row r="631" spans="27:40" x14ac:dyDescent="0.25">
      <c r="AA631" s="70"/>
      <c r="AN631" s="70"/>
    </row>
    <row r="632" spans="27:40" x14ac:dyDescent="0.25">
      <c r="AA632" s="70"/>
      <c r="AN632" s="70"/>
    </row>
    <row r="633" spans="27:40" x14ac:dyDescent="0.25">
      <c r="AA633" s="70"/>
      <c r="AN633" s="70"/>
    </row>
    <row r="634" spans="27:40" x14ac:dyDescent="0.25">
      <c r="AA634" s="70"/>
      <c r="AN634" s="70"/>
    </row>
    <row r="635" spans="27:40" x14ac:dyDescent="0.25">
      <c r="AA635" s="70"/>
      <c r="AN635" s="70"/>
    </row>
    <row r="636" spans="27:40" x14ac:dyDescent="0.25">
      <c r="AA636" s="70"/>
      <c r="AN636" s="70"/>
    </row>
    <row r="637" spans="27:40" x14ac:dyDescent="0.25">
      <c r="AA637" s="70"/>
      <c r="AN637" s="70"/>
    </row>
    <row r="638" spans="27:40" x14ac:dyDescent="0.25">
      <c r="AA638" s="70"/>
      <c r="AN638" s="70"/>
    </row>
    <row r="639" spans="27:40" x14ac:dyDescent="0.25">
      <c r="AA639" s="70"/>
      <c r="AN639" s="70"/>
    </row>
    <row r="640" spans="27:40" x14ac:dyDescent="0.25">
      <c r="AA640" s="70"/>
      <c r="AN640" s="70"/>
    </row>
    <row r="641" spans="27:40" x14ac:dyDescent="0.25">
      <c r="AA641" s="70"/>
      <c r="AN641" s="70"/>
    </row>
    <row r="642" spans="27:40" x14ac:dyDescent="0.25">
      <c r="AA642" s="70"/>
      <c r="AN642" s="70"/>
    </row>
    <row r="643" spans="27:40" x14ac:dyDescent="0.25">
      <c r="AA643" s="70"/>
      <c r="AN643" s="70"/>
    </row>
    <row r="644" spans="27:40" x14ac:dyDescent="0.25">
      <c r="AA644" s="70"/>
      <c r="AN644" s="70"/>
    </row>
    <row r="645" spans="27:40" x14ac:dyDescent="0.25">
      <c r="AA645" s="70"/>
      <c r="AN645" s="70"/>
    </row>
    <row r="646" spans="27:40" x14ac:dyDescent="0.25">
      <c r="AA646" s="70"/>
      <c r="AN646" s="70"/>
    </row>
    <row r="647" spans="27:40" x14ac:dyDescent="0.25">
      <c r="AA647" s="70"/>
      <c r="AN647" s="70"/>
    </row>
    <row r="648" spans="27:40" x14ac:dyDescent="0.25">
      <c r="AA648" s="70"/>
      <c r="AN648" s="70"/>
    </row>
    <row r="649" spans="27:40" x14ac:dyDescent="0.25">
      <c r="AA649" s="70"/>
      <c r="AN649" s="70"/>
    </row>
    <row r="650" spans="27:40" x14ac:dyDescent="0.25">
      <c r="AA650" s="70"/>
      <c r="AN650" s="70"/>
    </row>
    <row r="651" spans="27:40" x14ac:dyDescent="0.25">
      <c r="AA651" s="70"/>
      <c r="AN651" s="70"/>
    </row>
    <row r="652" spans="27:40" x14ac:dyDescent="0.25">
      <c r="AA652" s="70"/>
      <c r="AN652" s="70"/>
    </row>
    <row r="653" spans="27:40" x14ac:dyDescent="0.25">
      <c r="AA653" s="70"/>
      <c r="AN653" s="70"/>
    </row>
    <row r="654" spans="27:40" x14ac:dyDescent="0.25">
      <c r="AA654" s="70"/>
      <c r="AN654" s="70"/>
    </row>
    <row r="655" spans="27:40" x14ac:dyDescent="0.25">
      <c r="AA655" s="70"/>
      <c r="AN655" s="70"/>
    </row>
    <row r="656" spans="27:40" x14ac:dyDescent="0.25">
      <c r="AA656" s="70"/>
      <c r="AN656" s="70"/>
    </row>
    <row r="657" spans="27:40" x14ac:dyDescent="0.25">
      <c r="AA657" s="70"/>
      <c r="AN657" s="70"/>
    </row>
    <row r="658" spans="27:40" x14ac:dyDescent="0.25">
      <c r="AA658" s="70"/>
      <c r="AN658" s="70"/>
    </row>
    <row r="659" spans="27:40" x14ac:dyDescent="0.25">
      <c r="AA659" s="70"/>
      <c r="AN659" s="70"/>
    </row>
    <row r="660" spans="27:40" x14ac:dyDescent="0.25">
      <c r="AA660" s="70"/>
      <c r="AN660" s="70"/>
    </row>
    <row r="661" spans="27:40" x14ac:dyDescent="0.25">
      <c r="AA661" s="70"/>
      <c r="AN661" s="70"/>
    </row>
    <row r="662" spans="27:40" x14ac:dyDescent="0.25">
      <c r="AA662" s="70"/>
      <c r="AN662" s="70"/>
    </row>
    <row r="663" spans="27:40" x14ac:dyDescent="0.25">
      <c r="AA663" s="70"/>
      <c r="AN663" s="70"/>
    </row>
    <row r="664" spans="27:40" x14ac:dyDescent="0.25">
      <c r="AA664" s="70"/>
      <c r="AN664" s="70"/>
    </row>
    <row r="665" spans="27:40" x14ac:dyDescent="0.25">
      <c r="AA665" s="70"/>
      <c r="AN665" s="70"/>
    </row>
    <row r="666" spans="27:40" x14ac:dyDescent="0.25">
      <c r="AA666" s="70"/>
      <c r="AN666" s="70"/>
    </row>
    <row r="667" spans="27:40" x14ac:dyDescent="0.25">
      <c r="AA667" s="70"/>
      <c r="AN667" s="70"/>
    </row>
    <row r="668" spans="27:40" x14ac:dyDescent="0.25">
      <c r="AA668" s="70"/>
      <c r="AN668" s="70"/>
    </row>
    <row r="669" spans="27:40" x14ac:dyDescent="0.25">
      <c r="AA669" s="70"/>
      <c r="AN669" s="70"/>
    </row>
    <row r="670" spans="27:40" x14ac:dyDescent="0.25">
      <c r="AA670" s="70"/>
      <c r="AN670" s="70"/>
    </row>
    <row r="671" spans="27:40" x14ac:dyDescent="0.25">
      <c r="AA671" s="70"/>
      <c r="AN671" s="70"/>
    </row>
    <row r="672" spans="27:40" x14ac:dyDescent="0.25">
      <c r="AA672" s="70"/>
      <c r="AN672" s="70"/>
    </row>
    <row r="673" spans="27:40" x14ac:dyDescent="0.25">
      <c r="AA673" s="70"/>
      <c r="AN673" s="70"/>
    </row>
    <row r="674" spans="27:40" x14ac:dyDescent="0.25">
      <c r="AA674" s="70"/>
      <c r="AN674" s="70"/>
    </row>
    <row r="675" spans="27:40" x14ac:dyDescent="0.25">
      <c r="AA675" s="70"/>
      <c r="AN675" s="70"/>
    </row>
    <row r="676" spans="27:40" x14ac:dyDescent="0.25">
      <c r="AA676" s="70"/>
      <c r="AN676" s="70"/>
    </row>
    <row r="677" spans="27:40" x14ac:dyDescent="0.25">
      <c r="AA677" s="70"/>
      <c r="AN677" s="70"/>
    </row>
    <row r="678" spans="27:40" x14ac:dyDescent="0.25">
      <c r="AA678" s="70"/>
      <c r="AN678" s="70"/>
    </row>
    <row r="679" spans="27:40" x14ac:dyDescent="0.25">
      <c r="AA679" s="70"/>
      <c r="AN679" s="70"/>
    </row>
    <row r="680" spans="27:40" x14ac:dyDescent="0.25">
      <c r="AA680" s="70"/>
      <c r="AN680" s="70"/>
    </row>
    <row r="681" spans="27:40" x14ac:dyDescent="0.25">
      <c r="AA681" s="70"/>
      <c r="AN681" s="70"/>
    </row>
    <row r="682" spans="27:40" x14ac:dyDescent="0.25">
      <c r="AA682" s="70"/>
      <c r="AN682" s="70"/>
    </row>
    <row r="683" spans="27:40" x14ac:dyDescent="0.25">
      <c r="AA683" s="70"/>
      <c r="AN683" s="70"/>
    </row>
    <row r="684" spans="27:40" x14ac:dyDescent="0.25">
      <c r="AA684" s="70"/>
      <c r="AN684" s="70"/>
    </row>
    <row r="685" spans="27:40" x14ac:dyDescent="0.25">
      <c r="AA685" s="70"/>
      <c r="AN685" s="70"/>
    </row>
    <row r="686" spans="27:40" x14ac:dyDescent="0.25">
      <c r="AA686" s="70"/>
      <c r="AN686" s="70"/>
    </row>
    <row r="687" spans="27:40" x14ac:dyDescent="0.25">
      <c r="AA687" s="70"/>
      <c r="AN687" s="70"/>
    </row>
    <row r="688" spans="27:40" x14ac:dyDescent="0.25">
      <c r="AA688" s="70"/>
      <c r="AN688" s="70"/>
    </row>
    <row r="689" spans="27:40" x14ac:dyDescent="0.25">
      <c r="AA689" s="70"/>
      <c r="AN689" s="70"/>
    </row>
    <row r="690" spans="27:40" x14ac:dyDescent="0.25">
      <c r="AA690" s="70"/>
      <c r="AN690" s="70"/>
    </row>
    <row r="691" spans="27:40" x14ac:dyDescent="0.25">
      <c r="AA691" s="70"/>
      <c r="AN691" s="70"/>
    </row>
    <row r="692" spans="27:40" x14ac:dyDescent="0.25">
      <c r="AA692" s="70"/>
      <c r="AN692" s="70"/>
    </row>
    <row r="693" spans="27:40" x14ac:dyDescent="0.25">
      <c r="AA693" s="70"/>
      <c r="AN693" s="70"/>
    </row>
    <row r="694" spans="27:40" x14ac:dyDescent="0.25">
      <c r="AA694" s="70"/>
      <c r="AN694" s="70"/>
    </row>
    <row r="695" spans="27:40" x14ac:dyDescent="0.25">
      <c r="AA695" s="70"/>
      <c r="AN695" s="70"/>
    </row>
    <row r="696" spans="27:40" x14ac:dyDescent="0.25">
      <c r="AA696" s="70"/>
      <c r="AN696" s="70"/>
    </row>
    <row r="697" spans="27:40" x14ac:dyDescent="0.25">
      <c r="AA697" s="70"/>
      <c r="AN697" s="70"/>
    </row>
    <row r="698" spans="27:40" x14ac:dyDescent="0.25">
      <c r="AA698" s="70"/>
      <c r="AN698" s="70"/>
    </row>
    <row r="699" spans="27:40" x14ac:dyDescent="0.25">
      <c r="AA699" s="70"/>
      <c r="AN699" s="70"/>
    </row>
    <row r="700" spans="27:40" x14ac:dyDescent="0.25">
      <c r="AA700" s="70"/>
      <c r="AN700" s="70"/>
    </row>
    <row r="701" spans="27:40" x14ac:dyDescent="0.25">
      <c r="AA701" s="70"/>
      <c r="AN701" s="70"/>
    </row>
    <row r="702" spans="27:40" x14ac:dyDescent="0.25">
      <c r="AA702" s="70"/>
      <c r="AN702" s="70"/>
    </row>
    <row r="703" spans="27:40" x14ac:dyDescent="0.25">
      <c r="AA703" s="70"/>
      <c r="AN703" s="70"/>
    </row>
    <row r="704" spans="27:40" x14ac:dyDescent="0.25">
      <c r="AA704" s="70"/>
      <c r="AN704" s="70"/>
    </row>
    <row r="705" spans="27:40" x14ac:dyDescent="0.25">
      <c r="AA705" s="70"/>
      <c r="AN705" s="70"/>
    </row>
    <row r="706" spans="27:40" x14ac:dyDescent="0.25">
      <c r="AA706" s="70"/>
      <c r="AN706" s="70"/>
    </row>
    <row r="707" spans="27:40" x14ac:dyDescent="0.25">
      <c r="AA707" s="70"/>
      <c r="AN707" s="70"/>
    </row>
    <row r="708" spans="27:40" x14ac:dyDescent="0.25">
      <c r="AA708" s="70"/>
      <c r="AN708" s="70"/>
    </row>
    <row r="709" spans="27:40" x14ac:dyDescent="0.25">
      <c r="AA709" s="70"/>
      <c r="AN709" s="70"/>
    </row>
    <row r="710" spans="27:40" x14ac:dyDescent="0.25">
      <c r="AA710" s="70"/>
      <c r="AN710" s="70"/>
    </row>
    <row r="711" spans="27:40" x14ac:dyDescent="0.25">
      <c r="AA711" s="70"/>
      <c r="AN711" s="70"/>
    </row>
    <row r="712" spans="27:40" x14ac:dyDescent="0.25">
      <c r="AA712" s="70"/>
      <c r="AN712" s="70"/>
    </row>
    <row r="713" spans="27:40" x14ac:dyDescent="0.25">
      <c r="AA713" s="70"/>
      <c r="AN713" s="70"/>
    </row>
    <row r="714" spans="27:40" x14ac:dyDescent="0.25">
      <c r="AA714" s="70"/>
      <c r="AN714" s="70"/>
    </row>
    <row r="715" spans="27:40" x14ac:dyDescent="0.25">
      <c r="AA715" s="70"/>
      <c r="AN715" s="70"/>
    </row>
    <row r="716" spans="27:40" x14ac:dyDescent="0.25">
      <c r="AA716" s="70"/>
      <c r="AN716" s="70"/>
    </row>
    <row r="717" spans="27:40" x14ac:dyDescent="0.25">
      <c r="AA717" s="70"/>
      <c r="AN717" s="70"/>
    </row>
    <row r="718" spans="27:40" x14ac:dyDescent="0.25">
      <c r="AA718" s="70"/>
      <c r="AN718" s="70"/>
    </row>
    <row r="719" spans="27:40" x14ac:dyDescent="0.25">
      <c r="AA719" s="70"/>
      <c r="AN719" s="70"/>
    </row>
    <row r="720" spans="27:40" x14ac:dyDescent="0.25">
      <c r="AA720" s="70"/>
      <c r="AN720" s="70"/>
    </row>
    <row r="721" spans="27:40" x14ac:dyDescent="0.25">
      <c r="AA721" s="70"/>
      <c r="AN721" s="70"/>
    </row>
    <row r="722" spans="27:40" x14ac:dyDescent="0.25">
      <c r="AA722" s="70"/>
      <c r="AN722" s="70"/>
    </row>
    <row r="723" spans="27:40" x14ac:dyDescent="0.25">
      <c r="AA723" s="70"/>
      <c r="AN723" s="70"/>
    </row>
    <row r="724" spans="27:40" x14ac:dyDescent="0.25">
      <c r="AA724" s="70"/>
      <c r="AN724" s="70"/>
    </row>
    <row r="725" spans="27:40" x14ac:dyDescent="0.25">
      <c r="AA725" s="70"/>
      <c r="AN725" s="70"/>
    </row>
    <row r="726" spans="27:40" x14ac:dyDescent="0.25">
      <c r="AA726" s="70"/>
      <c r="AN726" s="70"/>
    </row>
    <row r="727" spans="27:40" x14ac:dyDescent="0.25">
      <c r="AA727" s="70"/>
      <c r="AN727" s="70"/>
    </row>
    <row r="728" spans="27:40" x14ac:dyDescent="0.25">
      <c r="AA728" s="70"/>
      <c r="AN728" s="70"/>
    </row>
    <row r="729" spans="27:40" x14ac:dyDescent="0.25">
      <c r="AA729" s="70"/>
      <c r="AN729" s="70"/>
    </row>
    <row r="730" spans="27:40" x14ac:dyDescent="0.25">
      <c r="AA730" s="70"/>
      <c r="AN730" s="70"/>
    </row>
    <row r="731" spans="27:40" x14ac:dyDescent="0.25">
      <c r="AA731" s="70"/>
      <c r="AN731" s="70"/>
    </row>
    <row r="732" spans="27:40" x14ac:dyDescent="0.25">
      <c r="AA732" s="70"/>
      <c r="AN732" s="70"/>
    </row>
    <row r="733" spans="27:40" x14ac:dyDescent="0.25">
      <c r="AA733" s="70"/>
      <c r="AN733" s="70"/>
    </row>
    <row r="734" spans="27:40" x14ac:dyDescent="0.25">
      <c r="AA734" s="70"/>
      <c r="AN734" s="70"/>
    </row>
    <row r="735" spans="27:40" x14ac:dyDescent="0.25">
      <c r="AA735" s="70"/>
      <c r="AN735" s="70"/>
    </row>
    <row r="736" spans="27:40" x14ac:dyDescent="0.25">
      <c r="AA736" s="70"/>
      <c r="AN736" s="70"/>
    </row>
    <row r="737" spans="27:40" x14ac:dyDescent="0.25">
      <c r="AA737" s="70"/>
      <c r="AN737" s="70"/>
    </row>
    <row r="738" spans="27:40" x14ac:dyDescent="0.25">
      <c r="AA738" s="70"/>
      <c r="AN738" s="70"/>
    </row>
    <row r="739" spans="27:40" x14ac:dyDescent="0.25">
      <c r="AA739" s="70"/>
      <c r="AN739" s="70"/>
    </row>
    <row r="740" spans="27:40" x14ac:dyDescent="0.25">
      <c r="AA740" s="70"/>
      <c r="AN740" s="70"/>
    </row>
    <row r="741" spans="27:40" x14ac:dyDescent="0.25">
      <c r="AA741" s="70"/>
      <c r="AN741" s="70"/>
    </row>
    <row r="742" spans="27:40" x14ac:dyDescent="0.25">
      <c r="AA742" s="70"/>
      <c r="AN742" s="70"/>
    </row>
    <row r="743" spans="27:40" x14ac:dyDescent="0.25">
      <c r="AA743" s="70"/>
      <c r="AN743" s="70"/>
    </row>
    <row r="744" spans="27:40" x14ac:dyDescent="0.25">
      <c r="AA744" s="70"/>
      <c r="AN744" s="70"/>
    </row>
    <row r="745" spans="27:40" x14ac:dyDescent="0.25">
      <c r="AA745" s="70"/>
      <c r="AN745" s="70"/>
    </row>
    <row r="746" spans="27:40" x14ac:dyDescent="0.25">
      <c r="AA746" s="70"/>
      <c r="AN746" s="70"/>
    </row>
    <row r="747" spans="27:40" x14ac:dyDescent="0.25">
      <c r="AA747" s="70"/>
      <c r="AN747" s="70"/>
    </row>
    <row r="748" spans="27:40" x14ac:dyDescent="0.25">
      <c r="AA748" s="70"/>
      <c r="AN748" s="70"/>
    </row>
    <row r="749" spans="27:40" x14ac:dyDescent="0.25">
      <c r="AA749" s="70"/>
      <c r="AN749" s="70"/>
    </row>
    <row r="750" spans="27:40" x14ac:dyDescent="0.25">
      <c r="AA750" s="70"/>
      <c r="AN750" s="70"/>
    </row>
    <row r="751" spans="27:40" x14ac:dyDescent="0.25">
      <c r="AA751" s="70"/>
      <c r="AN751" s="70"/>
    </row>
    <row r="752" spans="27:40" x14ac:dyDescent="0.25">
      <c r="AA752" s="70"/>
      <c r="AN752" s="70"/>
    </row>
    <row r="753" spans="27:40" x14ac:dyDescent="0.25">
      <c r="AA753" s="70"/>
      <c r="AN753" s="70"/>
    </row>
    <row r="754" spans="27:40" x14ac:dyDescent="0.25">
      <c r="AA754" s="70"/>
      <c r="AN754" s="70"/>
    </row>
    <row r="755" spans="27:40" x14ac:dyDescent="0.25">
      <c r="AA755" s="70"/>
      <c r="AN755" s="70"/>
    </row>
    <row r="756" spans="27:40" x14ac:dyDescent="0.25">
      <c r="AA756" s="70"/>
      <c r="AN756" s="70"/>
    </row>
    <row r="757" spans="27:40" x14ac:dyDescent="0.25">
      <c r="AA757" s="70"/>
      <c r="AN757" s="70"/>
    </row>
    <row r="758" spans="27:40" x14ac:dyDescent="0.25">
      <c r="AA758" s="70"/>
      <c r="AN758" s="70"/>
    </row>
    <row r="759" spans="27:40" x14ac:dyDescent="0.25">
      <c r="AA759" s="70"/>
      <c r="AN759" s="70"/>
    </row>
    <row r="760" spans="27:40" x14ac:dyDescent="0.25">
      <c r="AA760" s="70"/>
      <c r="AN760" s="70"/>
    </row>
    <row r="761" spans="27:40" x14ac:dyDescent="0.25">
      <c r="AA761" s="70"/>
      <c r="AN761" s="70"/>
    </row>
    <row r="762" spans="27:40" x14ac:dyDescent="0.25">
      <c r="AA762" s="70"/>
      <c r="AN762" s="70"/>
    </row>
    <row r="763" spans="27:40" x14ac:dyDescent="0.25">
      <c r="AA763" s="70"/>
      <c r="AN763" s="70"/>
    </row>
    <row r="764" spans="27:40" x14ac:dyDescent="0.25">
      <c r="AA764" s="70"/>
      <c r="AN764" s="70"/>
    </row>
    <row r="765" spans="27:40" x14ac:dyDescent="0.25">
      <c r="AA765" s="70"/>
      <c r="AN765" s="70"/>
    </row>
    <row r="766" spans="27:40" x14ac:dyDescent="0.25">
      <c r="AA766" s="70"/>
      <c r="AN766" s="70"/>
    </row>
    <row r="767" spans="27:40" x14ac:dyDescent="0.25">
      <c r="AA767" s="70"/>
      <c r="AN767" s="70"/>
    </row>
    <row r="768" spans="27:40" x14ac:dyDescent="0.25">
      <c r="AA768" s="70"/>
      <c r="AN768" s="70"/>
    </row>
    <row r="769" spans="27:40" x14ac:dyDescent="0.25">
      <c r="AA769" s="70"/>
      <c r="AN769" s="70"/>
    </row>
    <row r="770" spans="27:40" x14ac:dyDescent="0.25">
      <c r="AA770" s="70"/>
      <c r="AN770" s="70"/>
    </row>
    <row r="771" spans="27:40" x14ac:dyDescent="0.25">
      <c r="AA771" s="70"/>
      <c r="AN771" s="70"/>
    </row>
    <row r="772" spans="27:40" x14ac:dyDescent="0.25">
      <c r="AA772" s="70"/>
      <c r="AN772" s="70"/>
    </row>
    <row r="773" spans="27:40" x14ac:dyDescent="0.25">
      <c r="AA773" s="70"/>
      <c r="AN773" s="70"/>
    </row>
    <row r="774" spans="27:40" x14ac:dyDescent="0.25">
      <c r="AA774" s="70"/>
      <c r="AN774" s="70"/>
    </row>
    <row r="775" spans="27:40" x14ac:dyDescent="0.25">
      <c r="AA775" s="70"/>
      <c r="AN775" s="70"/>
    </row>
    <row r="776" spans="27:40" x14ac:dyDescent="0.25">
      <c r="AA776" s="70"/>
      <c r="AN776" s="70"/>
    </row>
    <row r="777" spans="27:40" x14ac:dyDescent="0.25">
      <c r="AA777" s="70"/>
      <c r="AN777" s="70"/>
    </row>
    <row r="778" spans="27:40" x14ac:dyDescent="0.25">
      <c r="AA778" s="70"/>
      <c r="AN778" s="70"/>
    </row>
    <row r="779" spans="27:40" x14ac:dyDescent="0.25">
      <c r="AA779" s="70"/>
      <c r="AN779" s="70"/>
    </row>
    <row r="780" spans="27:40" x14ac:dyDescent="0.25">
      <c r="AA780" s="70"/>
      <c r="AN780" s="70"/>
    </row>
    <row r="781" spans="27:40" x14ac:dyDescent="0.25">
      <c r="AA781" s="70"/>
      <c r="AN781" s="70"/>
    </row>
    <row r="782" spans="27:40" x14ac:dyDescent="0.25">
      <c r="AA782" s="70"/>
      <c r="AN782" s="70"/>
    </row>
    <row r="783" spans="27:40" x14ac:dyDescent="0.25">
      <c r="AA783" s="70"/>
      <c r="AN783" s="70"/>
    </row>
    <row r="784" spans="27:40" x14ac:dyDescent="0.25">
      <c r="AA784" s="70"/>
      <c r="AN784" s="70"/>
    </row>
    <row r="785" spans="27:40" x14ac:dyDescent="0.25">
      <c r="AA785" s="70"/>
      <c r="AN785" s="70"/>
    </row>
    <row r="786" spans="27:40" x14ac:dyDescent="0.25">
      <c r="AA786" s="70"/>
      <c r="AN786" s="70"/>
    </row>
    <row r="787" spans="27:40" x14ac:dyDescent="0.25">
      <c r="AA787" s="70"/>
      <c r="AN787" s="70"/>
    </row>
    <row r="788" spans="27:40" x14ac:dyDescent="0.25">
      <c r="AA788" s="70"/>
      <c r="AN788" s="70"/>
    </row>
    <row r="789" spans="27:40" x14ac:dyDescent="0.25">
      <c r="AA789" s="70"/>
      <c r="AN789" s="70"/>
    </row>
    <row r="790" spans="27:40" x14ac:dyDescent="0.25">
      <c r="AA790" s="70"/>
      <c r="AN790" s="70"/>
    </row>
    <row r="791" spans="27:40" x14ac:dyDescent="0.25">
      <c r="AA791" s="70"/>
      <c r="AN791" s="70"/>
    </row>
    <row r="792" spans="27:40" x14ac:dyDescent="0.25">
      <c r="AA792" s="70"/>
      <c r="AN792" s="70"/>
    </row>
    <row r="793" spans="27:40" x14ac:dyDescent="0.25">
      <c r="AA793" s="70"/>
      <c r="AN793" s="70"/>
    </row>
    <row r="794" spans="27:40" x14ac:dyDescent="0.25">
      <c r="AA794" s="70"/>
      <c r="AN794" s="70"/>
    </row>
    <row r="795" spans="27:40" x14ac:dyDescent="0.25">
      <c r="AA795" s="70"/>
      <c r="AN795" s="70"/>
    </row>
    <row r="796" spans="27:40" x14ac:dyDescent="0.25">
      <c r="AA796" s="70"/>
      <c r="AN796" s="70"/>
    </row>
    <row r="797" spans="27:40" x14ac:dyDescent="0.25">
      <c r="AA797" s="70"/>
      <c r="AN797" s="70"/>
    </row>
    <row r="798" spans="27:40" x14ac:dyDescent="0.25">
      <c r="AA798" s="70"/>
      <c r="AN798" s="70"/>
    </row>
    <row r="799" spans="27:40" x14ac:dyDescent="0.25">
      <c r="AA799" s="70"/>
      <c r="AN799" s="70"/>
    </row>
    <row r="800" spans="27:40" x14ac:dyDescent="0.25">
      <c r="AA800" s="70"/>
      <c r="AN800" s="70"/>
    </row>
    <row r="801" spans="27:40" x14ac:dyDescent="0.25">
      <c r="AA801" s="70"/>
      <c r="AN801" s="70"/>
    </row>
    <row r="802" spans="27:40" x14ac:dyDescent="0.25">
      <c r="AA802" s="70"/>
      <c r="AN802" s="70"/>
    </row>
    <row r="803" spans="27:40" x14ac:dyDescent="0.25">
      <c r="AA803" s="70"/>
      <c r="AN803" s="70"/>
    </row>
    <row r="804" spans="27:40" x14ac:dyDescent="0.25">
      <c r="AA804" s="70"/>
      <c r="AN804" s="70"/>
    </row>
    <row r="805" spans="27:40" x14ac:dyDescent="0.25">
      <c r="AA805" s="70"/>
      <c r="AN805" s="70"/>
    </row>
    <row r="806" spans="27:40" x14ac:dyDescent="0.25">
      <c r="AA806" s="70"/>
      <c r="AN806" s="70"/>
    </row>
    <row r="807" spans="27:40" x14ac:dyDescent="0.25">
      <c r="AA807" s="70"/>
      <c r="AN807" s="70"/>
    </row>
    <row r="808" spans="27:40" x14ac:dyDescent="0.25">
      <c r="AA808" s="70"/>
      <c r="AN808" s="70"/>
    </row>
    <row r="809" spans="27:40" x14ac:dyDescent="0.25">
      <c r="AA809" s="70"/>
      <c r="AN809" s="70"/>
    </row>
    <row r="810" spans="27:40" x14ac:dyDescent="0.25">
      <c r="AA810" s="70"/>
      <c r="AN810" s="70"/>
    </row>
    <row r="811" spans="27:40" x14ac:dyDescent="0.25">
      <c r="AA811" s="70"/>
      <c r="AN811" s="70"/>
    </row>
    <row r="812" spans="27:40" x14ac:dyDescent="0.25">
      <c r="AA812" s="70"/>
      <c r="AN812" s="70"/>
    </row>
    <row r="813" spans="27:40" x14ac:dyDescent="0.25">
      <c r="AA813" s="70"/>
      <c r="AN813" s="70"/>
    </row>
    <row r="814" spans="27:40" x14ac:dyDescent="0.25">
      <c r="AA814" s="70"/>
      <c r="AN814" s="70"/>
    </row>
    <row r="815" spans="27:40" x14ac:dyDescent="0.25">
      <c r="AA815" s="70"/>
      <c r="AN815" s="70"/>
    </row>
    <row r="816" spans="27:40" x14ac:dyDescent="0.25">
      <c r="AA816" s="70"/>
      <c r="AN816" s="70"/>
    </row>
    <row r="817" spans="27:40" x14ac:dyDescent="0.25">
      <c r="AA817" s="70"/>
      <c r="AN817" s="70"/>
    </row>
    <row r="818" spans="27:40" x14ac:dyDescent="0.25">
      <c r="AA818" s="70"/>
      <c r="AN818" s="70"/>
    </row>
    <row r="819" spans="27:40" x14ac:dyDescent="0.25">
      <c r="AA819" s="70"/>
      <c r="AN819" s="70"/>
    </row>
    <row r="820" spans="27:40" x14ac:dyDescent="0.25">
      <c r="AA820" s="70"/>
      <c r="AN820" s="70"/>
    </row>
    <row r="821" spans="27:40" x14ac:dyDescent="0.25">
      <c r="AA821" s="70"/>
      <c r="AN821" s="70"/>
    </row>
    <row r="822" spans="27:40" x14ac:dyDescent="0.25">
      <c r="AA822" s="70"/>
      <c r="AN822" s="70"/>
    </row>
    <row r="823" spans="27:40" x14ac:dyDescent="0.25">
      <c r="AA823" s="70"/>
      <c r="AN823" s="70"/>
    </row>
    <row r="824" spans="27:40" x14ac:dyDescent="0.25">
      <c r="AA824" s="70"/>
      <c r="AN824" s="70"/>
    </row>
    <row r="825" spans="27:40" x14ac:dyDescent="0.25">
      <c r="AA825" s="70"/>
      <c r="AN825" s="70"/>
    </row>
    <row r="826" spans="27:40" x14ac:dyDescent="0.25">
      <c r="AA826" s="70"/>
      <c r="AN826" s="70"/>
    </row>
    <row r="827" spans="27:40" x14ac:dyDescent="0.25">
      <c r="AA827" s="70"/>
      <c r="AN827" s="70"/>
    </row>
    <row r="828" spans="27:40" x14ac:dyDescent="0.25">
      <c r="AA828" s="70"/>
      <c r="AN828" s="70"/>
    </row>
    <row r="829" spans="27:40" x14ac:dyDescent="0.25">
      <c r="AA829" s="70"/>
      <c r="AN829" s="70"/>
    </row>
    <row r="830" spans="27:40" x14ac:dyDescent="0.25">
      <c r="AA830" s="70"/>
      <c r="AN830" s="70"/>
    </row>
    <row r="831" spans="27:40" x14ac:dyDescent="0.25">
      <c r="AA831" s="70"/>
      <c r="AN831" s="70"/>
    </row>
    <row r="832" spans="27:40" x14ac:dyDescent="0.25">
      <c r="AA832" s="70"/>
      <c r="AN832" s="70"/>
    </row>
    <row r="833" spans="27:40" x14ac:dyDescent="0.25">
      <c r="AA833" s="70"/>
      <c r="AN833" s="70"/>
    </row>
    <row r="834" spans="27:40" x14ac:dyDescent="0.25">
      <c r="AA834" s="70"/>
      <c r="AN834" s="70"/>
    </row>
    <row r="835" spans="27:40" x14ac:dyDescent="0.25">
      <c r="AA835" s="70"/>
      <c r="AN835" s="70"/>
    </row>
    <row r="836" spans="27:40" x14ac:dyDescent="0.25">
      <c r="AA836" s="70"/>
      <c r="AN836" s="70"/>
    </row>
    <row r="837" spans="27:40" x14ac:dyDescent="0.25">
      <c r="AA837" s="70"/>
      <c r="AN837" s="70"/>
    </row>
    <row r="838" spans="27:40" x14ac:dyDescent="0.25">
      <c r="AA838" s="70"/>
      <c r="AN838" s="70"/>
    </row>
    <row r="839" spans="27:40" x14ac:dyDescent="0.25">
      <c r="AA839" s="70"/>
      <c r="AN839" s="70"/>
    </row>
    <row r="840" spans="27:40" x14ac:dyDescent="0.25">
      <c r="AA840" s="70"/>
      <c r="AN840" s="70"/>
    </row>
    <row r="841" spans="27:40" x14ac:dyDescent="0.25">
      <c r="AA841" s="70"/>
      <c r="AN841" s="70"/>
    </row>
    <row r="842" spans="27:40" x14ac:dyDescent="0.25">
      <c r="AA842" s="70"/>
      <c r="AN842" s="70"/>
    </row>
    <row r="843" spans="27:40" x14ac:dyDescent="0.25">
      <c r="AA843" s="70"/>
      <c r="AN843" s="70"/>
    </row>
    <row r="844" spans="27:40" x14ac:dyDescent="0.25">
      <c r="AA844" s="70"/>
      <c r="AN844" s="70"/>
    </row>
    <row r="845" spans="27:40" x14ac:dyDescent="0.25">
      <c r="AA845" s="70"/>
      <c r="AN845" s="70"/>
    </row>
    <row r="846" spans="27:40" x14ac:dyDescent="0.25">
      <c r="AA846" s="70"/>
      <c r="AN846" s="70"/>
    </row>
    <row r="847" spans="27:40" x14ac:dyDescent="0.25">
      <c r="AA847" s="70"/>
      <c r="AN847" s="70"/>
    </row>
    <row r="848" spans="27:40" x14ac:dyDescent="0.25">
      <c r="AA848" s="70"/>
      <c r="AN848" s="70"/>
    </row>
    <row r="849" spans="27:40" x14ac:dyDescent="0.25">
      <c r="AA849" s="70"/>
      <c r="AN849" s="70"/>
    </row>
    <row r="850" spans="27:40" x14ac:dyDescent="0.25">
      <c r="AA850" s="70"/>
      <c r="AN850" s="70"/>
    </row>
    <row r="851" spans="27:40" x14ac:dyDescent="0.25">
      <c r="AA851" s="70"/>
      <c r="AN851" s="70"/>
    </row>
    <row r="852" spans="27:40" x14ac:dyDescent="0.25">
      <c r="AA852" s="70"/>
      <c r="AN852" s="70"/>
    </row>
    <row r="853" spans="27:40" x14ac:dyDescent="0.25">
      <c r="AA853" s="70"/>
      <c r="AN853" s="70"/>
    </row>
    <row r="854" spans="27:40" x14ac:dyDescent="0.25">
      <c r="AA854" s="70"/>
      <c r="AN854" s="70"/>
    </row>
    <row r="855" spans="27:40" x14ac:dyDescent="0.25">
      <c r="AA855" s="70"/>
      <c r="AN855" s="70"/>
    </row>
    <row r="856" spans="27:40" x14ac:dyDescent="0.25">
      <c r="AA856" s="70"/>
      <c r="AN856" s="70"/>
    </row>
    <row r="857" spans="27:40" x14ac:dyDescent="0.25">
      <c r="AA857" s="70"/>
      <c r="AN857" s="70"/>
    </row>
    <row r="858" spans="27:40" x14ac:dyDescent="0.25">
      <c r="AA858" s="70"/>
      <c r="AN858" s="70"/>
    </row>
    <row r="859" spans="27:40" x14ac:dyDescent="0.25">
      <c r="AA859" s="70"/>
      <c r="AN859" s="70"/>
    </row>
    <row r="860" spans="27:40" x14ac:dyDescent="0.25">
      <c r="AA860" s="70"/>
      <c r="AN860" s="70"/>
    </row>
    <row r="861" spans="27:40" x14ac:dyDescent="0.25">
      <c r="AA861" s="70"/>
      <c r="AN861" s="70"/>
    </row>
    <row r="862" spans="27:40" x14ac:dyDescent="0.25">
      <c r="AA862" s="70"/>
      <c r="AN862" s="70"/>
    </row>
    <row r="863" spans="27:40" x14ac:dyDescent="0.25">
      <c r="AA863" s="70"/>
      <c r="AN863" s="70"/>
    </row>
    <row r="864" spans="27:40" x14ac:dyDescent="0.25">
      <c r="AA864" s="70"/>
      <c r="AN864" s="70"/>
    </row>
    <row r="865" spans="27:40" x14ac:dyDescent="0.25">
      <c r="AA865" s="70"/>
      <c r="AN865" s="70"/>
    </row>
    <row r="866" spans="27:40" x14ac:dyDescent="0.25">
      <c r="AA866" s="70"/>
      <c r="AN866" s="70"/>
    </row>
    <row r="867" spans="27:40" x14ac:dyDescent="0.25">
      <c r="AA867" s="70"/>
      <c r="AN867" s="70"/>
    </row>
    <row r="868" spans="27:40" x14ac:dyDescent="0.25">
      <c r="AA868" s="70"/>
      <c r="AN868" s="70"/>
    </row>
    <row r="869" spans="27:40" x14ac:dyDescent="0.25">
      <c r="AA869" s="70"/>
      <c r="AN869" s="70"/>
    </row>
    <row r="870" spans="27:40" x14ac:dyDescent="0.25">
      <c r="AA870" s="70"/>
      <c r="AN870" s="70"/>
    </row>
    <row r="871" spans="27:40" x14ac:dyDescent="0.25">
      <c r="AA871" s="70"/>
      <c r="AN871" s="70"/>
    </row>
    <row r="872" spans="27:40" x14ac:dyDescent="0.25">
      <c r="AA872" s="70"/>
      <c r="AN872" s="70"/>
    </row>
    <row r="873" spans="27:40" x14ac:dyDescent="0.25">
      <c r="AA873" s="70"/>
      <c r="AN873" s="70"/>
    </row>
    <row r="874" spans="27:40" x14ac:dyDescent="0.25">
      <c r="AA874" s="70"/>
      <c r="AN874" s="70"/>
    </row>
    <row r="875" spans="27:40" x14ac:dyDescent="0.25">
      <c r="AA875" s="70"/>
      <c r="AN875" s="70"/>
    </row>
    <row r="876" spans="27:40" x14ac:dyDescent="0.25">
      <c r="AA876" s="70"/>
      <c r="AN876" s="70"/>
    </row>
    <row r="877" spans="27:40" x14ac:dyDescent="0.25">
      <c r="AA877" s="70"/>
      <c r="AN877" s="70"/>
    </row>
    <row r="878" spans="27:40" x14ac:dyDescent="0.25">
      <c r="AA878" s="70"/>
      <c r="AN878" s="70"/>
    </row>
    <row r="879" spans="27:40" x14ac:dyDescent="0.25">
      <c r="AA879" s="70"/>
      <c r="AN879" s="70"/>
    </row>
    <row r="880" spans="27:40" x14ac:dyDescent="0.25">
      <c r="AA880" s="70"/>
      <c r="AN880" s="70"/>
    </row>
    <row r="881" spans="27:40" x14ac:dyDescent="0.25">
      <c r="AA881" s="70"/>
      <c r="AN881" s="70"/>
    </row>
    <row r="882" spans="27:40" x14ac:dyDescent="0.25">
      <c r="AA882" s="70"/>
      <c r="AN882" s="70"/>
    </row>
    <row r="883" spans="27:40" x14ac:dyDescent="0.25">
      <c r="AA883" s="70"/>
      <c r="AN883" s="70"/>
    </row>
    <row r="884" spans="27:40" x14ac:dyDescent="0.25">
      <c r="AA884" s="70"/>
      <c r="AN884" s="70"/>
    </row>
    <row r="885" spans="27:40" x14ac:dyDescent="0.25">
      <c r="AA885" s="70"/>
      <c r="AN885" s="70"/>
    </row>
    <row r="886" spans="27:40" x14ac:dyDescent="0.25">
      <c r="AA886" s="70"/>
      <c r="AN886" s="70"/>
    </row>
    <row r="887" spans="27:40" x14ac:dyDescent="0.25">
      <c r="AA887" s="70"/>
      <c r="AN887" s="70"/>
    </row>
    <row r="888" spans="27:40" x14ac:dyDescent="0.25">
      <c r="AA888" s="70"/>
      <c r="AN888" s="70"/>
    </row>
    <row r="889" spans="27:40" x14ac:dyDescent="0.25">
      <c r="AA889" s="70"/>
      <c r="AN889" s="70"/>
    </row>
    <row r="890" spans="27:40" x14ac:dyDescent="0.25">
      <c r="AA890" s="70"/>
      <c r="AN890" s="70"/>
    </row>
    <row r="891" spans="27:40" x14ac:dyDescent="0.25">
      <c r="AA891" s="70"/>
      <c r="AN891" s="70"/>
    </row>
    <row r="892" spans="27:40" x14ac:dyDescent="0.25">
      <c r="AA892" s="70"/>
      <c r="AN892" s="70"/>
    </row>
    <row r="893" spans="27:40" x14ac:dyDescent="0.25">
      <c r="AA893" s="70"/>
      <c r="AN893" s="70"/>
    </row>
    <row r="894" spans="27:40" x14ac:dyDescent="0.25">
      <c r="AA894" s="70"/>
      <c r="AN894" s="70"/>
    </row>
    <row r="895" spans="27:40" x14ac:dyDescent="0.25">
      <c r="AA895" s="70"/>
      <c r="AN895" s="70"/>
    </row>
    <row r="896" spans="27:40" x14ac:dyDescent="0.25">
      <c r="AA896" s="70"/>
      <c r="AN896" s="70"/>
    </row>
    <row r="897" spans="27:40" x14ac:dyDescent="0.25">
      <c r="AA897" s="70"/>
      <c r="AN897" s="70"/>
    </row>
    <row r="898" spans="27:40" x14ac:dyDescent="0.25">
      <c r="AA898" s="70"/>
      <c r="AN898" s="70"/>
    </row>
    <row r="899" spans="27:40" x14ac:dyDescent="0.25">
      <c r="AA899" s="70"/>
      <c r="AN899" s="70"/>
    </row>
    <row r="900" spans="27:40" x14ac:dyDescent="0.25">
      <c r="AA900" s="70"/>
      <c r="AN900" s="70"/>
    </row>
    <row r="901" spans="27:40" x14ac:dyDescent="0.25">
      <c r="AA901" s="70"/>
      <c r="AN901" s="70"/>
    </row>
    <row r="902" spans="27:40" x14ac:dyDescent="0.25">
      <c r="AA902" s="70"/>
      <c r="AN902" s="70"/>
    </row>
    <row r="903" spans="27:40" x14ac:dyDescent="0.25">
      <c r="AA903" s="70"/>
      <c r="AN903" s="70"/>
    </row>
    <row r="904" spans="27:40" x14ac:dyDescent="0.25">
      <c r="AA904" s="70"/>
      <c r="AN904" s="70"/>
    </row>
    <row r="905" spans="27:40" x14ac:dyDescent="0.25">
      <c r="AA905" s="70"/>
      <c r="AN905" s="70"/>
    </row>
    <row r="906" spans="27:40" x14ac:dyDescent="0.25">
      <c r="AA906" s="70"/>
      <c r="AN906" s="70"/>
    </row>
    <row r="907" spans="27:40" x14ac:dyDescent="0.25">
      <c r="AA907" s="70"/>
      <c r="AN907" s="70"/>
    </row>
    <row r="908" spans="27:40" x14ac:dyDescent="0.25">
      <c r="AA908" s="70"/>
      <c r="AN908" s="70"/>
    </row>
    <row r="909" spans="27:40" x14ac:dyDescent="0.25">
      <c r="AA909" s="70"/>
      <c r="AN909" s="70"/>
    </row>
    <row r="910" spans="27:40" x14ac:dyDescent="0.25">
      <c r="AA910" s="70"/>
      <c r="AN910" s="70"/>
    </row>
    <row r="911" spans="27:40" x14ac:dyDescent="0.25">
      <c r="AA911" s="70"/>
      <c r="AN911" s="70"/>
    </row>
    <row r="912" spans="27:40" x14ac:dyDescent="0.25">
      <c r="AA912" s="70"/>
      <c r="AN912" s="70"/>
    </row>
    <row r="913" spans="27:40" x14ac:dyDescent="0.25">
      <c r="AA913" s="70"/>
      <c r="AN913" s="70"/>
    </row>
    <row r="914" spans="27:40" x14ac:dyDescent="0.25">
      <c r="AA914" s="70"/>
      <c r="AN914" s="70"/>
    </row>
    <row r="915" spans="27:40" x14ac:dyDescent="0.25">
      <c r="AA915" s="70"/>
      <c r="AN915" s="70"/>
    </row>
    <row r="916" spans="27:40" x14ac:dyDescent="0.25">
      <c r="AA916" s="70"/>
      <c r="AN916" s="70"/>
    </row>
    <row r="917" spans="27:40" x14ac:dyDescent="0.25">
      <c r="AA917" s="70"/>
      <c r="AN917" s="70"/>
    </row>
    <row r="918" spans="27:40" x14ac:dyDescent="0.25">
      <c r="AA918" s="70"/>
      <c r="AN918" s="70"/>
    </row>
    <row r="919" spans="27:40" x14ac:dyDescent="0.25">
      <c r="AA919" s="70"/>
      <c r="AN919" s="70"/>
    </row>
    <row r="920" spans="27:40" x14ac:dyDescent="0.25">
      <c r="AA920" s="70"/>
      <c r="AN920" s="70"/>
    </row>
    <row r="921" spans="27:40" x14ac:dyDescent="0.25">
      <c r="AA921" s="70"/>
      <c r="AN921" s="70"/>
    </row>
    <row r="922" spans="27:40" x14ac:dyDescent="0.25">
      <c r="AA922" s="70"/>
      <c r="AN922" s="70"/>
    </row>
    <row r="923" spans="27:40" x14ac:dyDescent="0.25">
      <c r="AA923" s="70"/>
      <c r="AN923" s="70"/>
    </row>
    <row r="924" spans="27:40" x14ac:dyDescent="0.25">
      <c r="AA924" s="70"/>
      <c r="AN924" s="70"/>
    </row>
    <row r="925" spans="27:40" x14ac:dyDescent="0.25">
      <c r="AA925" s="70"/>
      <c r="AN925" s="70"/>
    </row>
    <row r="926" spans="27:40" x14ac:dyDescent="0.25">
      <c r="AA926" s="70"/>
      <c r="AN926" s="70"/>
    </row>
    <row r="927" spans="27:40" x14ac:dyDescent="0.25">
      <c r="AA927" s="70"/>
      <c r="AN927" s="70"/>
    </row>
    <row r="928" spans="27:40" x14ac:dyDescent="0.25">
      <c r="AA928" s="70"/>
      <c r="AN928" s="70"/>
    </row>
    <row r="929" spans="27:40" x14ac:dyDescent="0.25">
      <c r="AA929" s="70"/>
      <c r="AN929" s="70"/>
    </row>
    <row r="930" spans="27:40" x14ac:dyDescent="0.25">
      <c r="AA930" s="70"/>
      <c r="AN930" s="70"/>
    </row>
    <row r="931" spans="27:40" x14ac:dyDescent="0.25">
      <c r="AA931" s="70"/>
      <c r="AN931" s="70"/>
    </row>
    <row r="932" spans="27:40" x14ac:dyDescent="0.25">
      <c r="AA932" s="70"/>
      <c r="AN932" s="70"/>
    </row>
    <row r="933" spans="27:40" x14ac:dyDescent="0.25">
      <c r="AA933" s="70"/>
      <c r="AN933" s="70"/>
    </row>
    <row r="934" spans="27:40" x14ac:dyDescent="0.25">
      <c r="AA934" s="70"/>
      <c r="AN934" s="70"/>
    </row>
    <row r="935" spans="27:40" x14ac:dyDescent="0.25">
      <c r="AA935" s="70"/>
      <c r="AN935" s="70"/>
    </row>
    <row r="936" spans="27:40" x14ac:dyDescent="0.25">
      <c r="AA936" s="70"/>
      <c r="AN936" s="70"/>
    </row>
    <row r="937" spans="27:40" x14ac:dyDescent="0.25">
      <c r="AA937" s="70"/>
      <c r="AN937" s="70"/>
    </row>
    <row r="938" spans="27:40" x14ac:dyDescent="0.25">
      <c r="AA938" s="70"/>
      <c r="AN938" s="70"/>
    </row>
    <row r="939" spans="27:40" x14ac:dyDescent="0.25">
      <c r="AA939" s="70"/>
      <c r="AN939" s="70"/>
    </row>
    <row r="940" spans="27:40" x14ac:dyDescent="0.25">
      <c r="AA940" s="70"/>
      <c r="AN940" s="70"/>
    </row>
    <row r="941" spans="27:40" x14ac:dyDescent="0.25">
      <c r="AA941" s="70"/>
      <c r="AN941" s="70"/>
    </row>
    <row r="942" spans="27:40" x14ac:dyDescent="0.25">
      <c r="AA942" s="70"/>
      <c r="AN942" s="70"/>
    </row>
    <row r="943" spans="27:40" x14ac:dyDescent="0.25">
      <c r="AA943" s="70"/>
      <c r="AN943" s="70"/>
    </row>
    <row r="944" spans="27:40" x14ac:dyDescent="0.25">
      <c r="AA944" s="70"/>
      <c r="AN944" s="70"/>
    </row>
    <row r="945" spans="27:40" x14ac:dyDescent="0.25">
      <c r="AA945" s="70"/>
      <c r="AN945" s="70"/>
    </row>
  </sheetData>
  <mergeCells count="22">
    <mergeCell ref="AQ11:AS11"/>
    <mergeCell ref="A9:A10"/>
    <mergeCell ref="R9:R10"/>
    <mergeCell ref="S9:S10"/>
    <mergeCell ref="T9:T10"/>
    <mergeCell ref="M8:M10"/>
    <mergeCell ref="R8:T8"/>
    <mergeCell ref="AG8:AK8"/>
    <mergeCell ref="AQ8:AS8"/>
    <mergeCell ref="V9:V10"/>
    <mergeCell ref="AL8:AP8"/>
    <mergeCell ref="AI9:AJ9"/>
    <mergeCell ref="X9:Y9"/>
    <mergeCell ref="X8:AF8"/>
    <mergeCell ref="U9:U10"/>
    <mergeCell ref="AN9:AO9"/>
    <mergeCell ref="AD9:AE9"/>
    <mergeCell ref="W9:W10"/>
    <mergeCell ref="Z9:AA9"/>
    <mergeCell ref="AG9:AH9"/>
    <mergeCell ref="AL9:AM9"/>
    <mergeCell ref="AB9:AC9"/>
  </mergeCells>
  <dataValidations count="7">
    <dataValidation type="list" allowBlank="1" showInputMessage="1" showErrorMessage="1" sqref="J78:J79 J347:J358 J146 J169:J171 J294:J299 J303 J207:J219 J193:J195 J286 J203 J241 J161 J165 J179:J180 J228 J236:J237 J281:J282 J250 J184:J189 J260:J262 J154 J254:J256 J266:J273 J156 J343 J338:J339 J330 J334 J277 J223:J224 J232 J317 J321:J322 J307:J313 J199 J290 J245 J175 J150 J326 J108:J112 J70 J74 J88 J129:J130 J83:J84 J35 J39:J40 J61:J66 J95:J96 J134 J29 J56:J57 J16:J17 J52 J44 J22:J25 J48 J142 J116:J125 J138 J102:J104" xr:uid="{00000000-0002-0000-0700-000000000000}">
      <formula1>INDIRECT($G16&amp;"1999")</formula1>
    </dataValidation>
    <dataValidation type="list" allowBlank="1" showInputMessage="1" showErrorMessage="1" sqref="K78:K79 K347:K358 K146 K169:K171 K303 K207:K219 K193:K195 K286 K203 K241 K161 K165 K179:K180 K228 K236:K237 K281:K282 K250 K184:K189 K260:K262 K154 K254:K256 K266:K273 K156 K343 K338:K339 K330 K334 K277 K223:K224 K232 K321:K322 K307:K313 K199 K290 K245 K175 K150 K326 K108:K112 K70 K74 K88:K90 K129:K130 K83:K84 K35 K39:K40 K61:K66 K95:K98 K134 K29 K56:K57 K16:K17 K52 K44 K22:K25 K48 K142 K116:K125 K138 K102:K104" xr:uid="{00000000-0002-0000-0700-000001000000}">
      <formula1>INDIRECT($G16&amp;"CBP")</formula1>
    </dataValidation>
    <dataValidation type="list" allowBlank="1" showInputMessage="1" showErrorMessage="1" sqref="G338:G339 G347:G358 G343 G328:G336 G14:G70 G72:G326" xr:uid="{00000000-0002-0000-0700-000002000000}">
      <formula1>Common_Names</formula1>
    </dataValidation>
    <dataValidation type="list" allowBlank="1" showInputMessage="1" showErrorMessage="1" sqref="J135 J101 J335 J162 J166 J331 J89:J91 J181 J253 J155 J105 J263 J190 J242 J53 J45 J265 J233 J26 J49 J19 J126 J137 J304 J196 J204 J280 J107 J149 J153 J259 J251 J283 J323 J238 J14:J15 J67 J229 J329 J176 J113 J139 J151 J97:J99 J274 J257 J157:J158 J183 J248:J249 J133 J93 J30:J32 J55 J58 J320 J235 J333 J51 J43 J227 J21 J178 J47 J164 J160 J141 J240 J115 J202 J285 J192 J287 J302 J206 J293 J220 J77 J300 J316 J80 J168 J318 J145 J172 J276 J147 J222 J278 J231 J225 J38 J306 J41 J314 J198 J34 J200 J82 J36 J128 J85 J289 J131 J87 J291 J73 J244 J75 J69 J246 J143 J174 J325" xr:uid="{00000000-0002-0000-0700-000003000000}">
      <formula1>INDIRECT(#REF!&amp;"1999")</formula1>
    </dataValidation>
    <dataValidation type="list" allowBlank="1" showInputMessage="1" showErrorMessage="1" sqref="K93 K304 K141 K160 K274 K155 K196 K190 K51 K206 K43 K227 K115 K178 K47 K183 K164 K38 K202 K320 K316:K318 K101 K137 K285 K280 K176 K113 K257 K259 K133 K55 K235 K333 K240 K99 K21 K329 K331 K107 K149 K302 K67 K265 K253 K153 K157:K158 K263 K248:K249 K251 K135 K30:K32 K283 K58 K19 K323 K238 K335 K53 K45 K229 K26 K181 K49 K166 K162 K293:K300 K242 K126 K204 K287 K192 K139 K105 K220 K77 K80 K168 K172 K145 K147 K276 K278 K222 K225 K231 K233 K41 K306 K314 K198 K200 K34 K36 K82 K85 K128 K131 K289 K291 K87 K91 K73 K75 K244 K246 K14:K15 K143 K174 K151 K325 K69" xr:uid="{00000000-0002-0000-0700-000004000000}">
      <formula1>INDIRECT(#REF!&amp;"CBP")</formula1>
    </dataValidation>
    <dataValidation type="list" allowBlank="1" showInputMessage="1" showErrorMessage="1" sqref="K94" xr:uid="{00000000-0002-0000-0700-000005000000}">
      <formula1>INDIRECT($H94&amp;"CBP")</formula1>
    </dataValidation>
    <dataValidation type="list" allowBlank="1" showInputMessage="1" showErrorMessage="1" sqref="J94" xr:uid="{00000000-0002-0000-0700-000006000000}">
      <formula1>INDIRECT($H94&amp;"1999")</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97AA8C70AC254A80A6EE7C9465D37C" ma:contentTypeVersion="4" ma:contentTypeDescription="Create a new document." ma:contentTypeScope="" ma:versionID="277c0ea8ccfbb6eb9089ed26e677dbc8">
  <xsd:schema xmlns:xsd="http://www.w3.org/2001/XMLSchema" xmlns:xs="http://www.w3.org/2001/XMLSchema" xmlns:p="http://schemas.microsoft.com/office/2006/metadata/properties" xmlns:ns2="7b29a157-b082-44b2-b4de-9031e2cca959" targetNamespace="http://schemas.microsoft.com/office/2006/metadata/properties" ma:root="true" ma:fieldsID="11c63c292bb328bc11b647ac1ea1ff96" ns2:_="">
    <xsd:import namespace="7b29a157-b082-44b2-b4de-9031e2cca9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29a157-b082-44b2-b4de-9031e2cca9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D20006-56D1-4C63-AD7B-EA31CDCF15F5}">
  <ds:schemaRefs>
    <ds:schemaRef ds:uri="http://schemas.microsoft.com/sharepoint/v3/contenttype/forms"/>
  </ds:schemaRefs>
</ds:datastoreItem>
</file>

<file path=customXml/itemProps2.xml><?xml version="1.0" encoding="utf-8"?>
<ds:datastoreItem xmlns:ds="http://schemas.openxmlformats.org/officeDocument/2006/customXml" ds:itemID="{DC8EBFAA-9458-4631-AC8D-5D4F795CD1D2}"/>
</file>

<file path=customXml/itemProps3.xml><?xml version="1.0" encoding="utf-8"?>
<ds:datastoreItem xmlns:ds="http://schemas.openxmlformats.org/officeDocument/2006/customXml" ds:itemID="{A8583B38-CFC9-47EF-BB9F-1CF4D856ADFF}">
  <ds:schemaRefs>
    <ds:schemaRef ds:uri="http://schemas.microsoft.com/office/2006/metadata/properties"/>
    <ds:schemaRef ds:uri="http://schemas.microsoft.com/office/infopath/2007/PartnerControls"/>
    <ds:schemaRef ds:uri="fda62fb9-bfbd-4a5d-b184-de45aaebf6dc"/>
    <ds:schemaRef ds:uri="6ade85e1-b8c0-415d-954f-0c88b056736d"/>
    <ds:schemaRef ds:uri="b9a545d6-2797-43d8-ac00-c616a1126fb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39</vt:i4>
      </vt:variant>
    </vt:vector>
  </HeadingPairs>
  <TitlesOfParts>
    <vt:vector size="51" baseType="lpstr">
      <vt:lpstr>FY2024 Confirmation Statement</vt:lpstr>
      <vt:lpstr>Nutrient Accounting Overview</vt:lpstr>
      <vt:lpstr>Existing Source Loads</vt:lpstr>
      <vt:lpstr>2009 Land Use</vt:lpstr>
      <vt:lpstr>New and GF Source Loads</vt:lpstr>
      <vt:lpstr>Special Situations</vt:lpstr>
      <vt:lpstr>Structural BMP Accounting</vt:lpstr>
      <vt:lpstr>Stream Restoration Accounting</vt:lpstr>
      <vt:lpstr>Historical BMP Accounting</vt:lpstr>
      <vt:lpstr>NMP</vt:lpstr>
      <vt:lpstr>Efficiency Lookup</vt:lpstr>
      <vt:lpstr>Efficiency Table Overview</vt:lpstr>
      <vt:lpstr>Bioretention1999</vt:lpstr>
      <vt:lpstr>BioretentionCBP</vt:lpstr>
      <vt:lpstr>BioretentionClearinghouse</vt:lpstr>
      <vt:lpstr>Common_Names</vt:lpstr>
      <vt:lpstr>Detention1999</vt:lpstr>
      <vt:lpstr>DetentionCBP</vt:lpstr>
      <vt:lpstr>DetentionClearinghouse</vt:lpstr>
      <vt:lpstr>Filtering_Practices1999</vt:lpstr>
      <vt:lpstr>Filtering_PracticesCBP</vt:lpstr>
      <vt:lpstr>Filtering_PracticesClearinghouse</vt:lpstr>
      <vt:lpstr>Green_Roof1999</vt:lpstr>
      <vt:lpstr>Green_RoofCBP</vt:lpstr>
      <vt:lpstr>Green_RoofClearinghouse</vt:lpstr>
      <vt:lpstr>Infiltration1999</vt:lpstr>
      <vt:lpstr>InfiltrationCBP</vt:lpstr>
      <vt:lpstr>InfiltrationClearinghouse</vt:lpstr>
      <vt:lpstr>Permeable_Pvmt1999</vt:lpstr>
      <vt:lpstr>Permeable_PvmtCBP</vt:lpstr>
      <vt:lpstr>Permeable_PvmtClearinghouse</vt:lpstr>
      <vt:lpstr>Proprietary1999</vt:lpstr>
      <vt:lpstr>ProprietaryCBP</vt:lpstr>
      <vt:lpstr>ProprietaryClearinghouse</vt:lpstr>
      <vt:lpstr>Rainwater_HarvestingCBP</vt:lpstr>
      <vt:lpstr>Rainwater_HarvestingClearinghouse</vt:lpstr>
      <vt:lpstr>Swales1999</vt:lpstr>
      <vt:lpstr>SwalesCBP</vt:lpstr>
      <vt:lpstr>SwalesClearinghouse</vt:lpstr>
      <vt:lpstr>Veg_Chan1999</vt:lpstr>
      <vt:lpstr>Veg_ChanCBP</vt:lpstr>
      <vt:lpstr>Veg_ChanClearinghouse</vt:lpstr>
      <vt:lpstr>Wet_Pond_or_Wetlands1999</vt:lpstr>
      <vt:lpstr>Wet_Pond_or_WetlandsCBP</vt:lpstr>
      <vt:lpstr>Wet_Pond_or_WetlandsClearinghouse</vt:lpstr>
      <vt:lpstr>Wet_Pond1999</vt:lpstr>
      <vt:lpstr>Wet_PondCBP</vt:lpstr>
      <vt:lpstr>Wet_PondClearinghouse</vt:lpstr>
      <vt:lpstr>Wetlands1999</vt:lpstr>
      <vt:lpstr>WetlandsCBP</vt:lpstr>
      <vt:lpstr>WetlandsClearinghouse</vt:lpstr>
    </vt:vector>
  </TitlesOfParts>
  <Manager/>
  <Company>County of Albemarle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gharper</dc:creator>
  <cp:keywords/>
  <dc:description/>
  <cp:lastModifiedBy>Stavros Calos</cp:lastModifiedBy>
  <cp:revision/>
  <dcterms:created xsi:type="dcterms:W3CDTF">2014-09-16T18:55:21Z</dcterms:created>
  <dcterms:modified xsi:type="dcterms:W3CDTF">2024-10-28T15:40:20Z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0x010100EF97AA8C70AC254A80A6EE7C9465D37C</vt:lpwstr>
  </property>
  <property fmtid="{D5CDD505-2E9C-101B-9397-08002B2CF9AE}" pid="3" name="MediaServiceImageTags">
    <vt:lpwstr/>
  </property>
</Properties>
</file>